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9170" windowHeight="6150" activeTab="0"/>
  </bookViews>
  <sheets>
    <sheet name="多荷重自由端（長期）" sheetId="1" r:id="rId1"/>
    <sheet name="多荷重自由端（短期）" sheetId="2" r:id="rId2"/>
    <sheet name="許容応力度計算" sheetId="3" r:id="rId3"/>
  </sheets>
  <definedNames>
    <definedName name="_xlnm.Print_Area" localSheetId="2">'許容応力度計算'!$A$1:$I$54</definedName>
    <definedName name="_xlnm.Print_Area" localSheetId="1">'多荷重自由端（短期）'!$A$1:$M$35</definedName>
    <definedName name="_xlnm.Print_Area" localSheetId="0">'多荷重自由端（長期）'!$A$1:$M$35</definedName>
  </definedNames>
  <calcPr fullCalcOnLoad="1"/>
</workbook>
</file>

<file path=xl/comments3.xml><?xml version="1.0" encoding="utf-8"?>
<comments xmlns="http://schemas.openxmlformats.org/spreadsheetml/2006/main">
  <authors>
    <author>渡部泰一</author>
  </authors>
  <commentList>
    <comment ref="E7" authorId="0">
      <text>
        <r>
          <rPr>
            <b/>
            <sz val="9"/>
            <rFont val="ＭＳ Ｐゴシック"/>
            <family val="3"/>
          </rPr>
          <t>（Ｌ64）参照</t>
        </r>
      </text>
    </comment>
    <comment ref="N16" authorId="0">
      <text>
        <r>
          <rPr>
            <b/>
            <sz val="9"/>
            <rFont val="ＭＳ Ｐゴシック"/>
            <family val="3"/>
          </rPr>
          <t>右の表から数値を入力します。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（Ｌ64）参照</t>
        </r>
      </text>
    </comment>
    <comment ref="N44" authorId="0">
      <text>
        <r>
          <rPr>
            <b/>
            <sz val="9"/>
            <rFont val="ＭＳ Ｐゴシック"/>
            <family val="3"/>
          </rPr>
          <t>右の表から数値を入力します。</t>
        </r>
      </text>
    </comment>
  </commentList>
</comments>
</file>

<file path=xl/sharedStrings.xml><?xml version="1.0" encoding="utf-8"?>
<sst xmlns="http://schemas.openxmlformats.org/spreadsheetml/2006/main" count="423" uniqueCount="175">
  <si>
    <t>a</t>
  </si>
  <si>
    <t>b</t>
  </si>
  <si>
    <t>L</t>
  </si>
  <si>
    <t>P</t>
  </si>
  <si>
    <t>荷重名</t>
  </si>
  <si>
    <t>L</t>
  </si>
  <si>
    <t>ω</t>
  </si>
  <si>
    <t>集中荷重</t>
  </si>
  <si>
    <t>等分布荷重</t>
  </si>
  <si>
    <t>Ｍ</t>
  </si>
  <si>
    <t>Ｑ</t>
  </si>
  <si>
    <t>Ｑ</t>
  </si>
  <si>
    <t>集中荷重の荷重位置のせん断力は荷重の左側の値です。</t>
  </si>
  <si>
    <t>ＫＮ</t>
  </si>
  <si>
    <t>ｍ</t>
  </si>
  <si>
    <t>最大値</t>
  </si>
  <si>
    <t>右端</t>
  </si>
  <si>
    <t>ＴＯＴＡＬ　＝集中荷重+等分布荷重（ＫＮ・ｍ）</t>
  </si>
  <si>
    <t>ＴＯＴＡＬ　＝集中荷重+等分布荷重（ＫＮ）</t>
  </si>
  <si>
    <t>ＫＮ/ｍ</t>
  </si>
  <si>
    <t>中央</t>
  </si>
  <si>
    <t>⊿</t>
  </si>
  <si>
    <t>Ｉ＝</t>
  </si>
  <si>
    <t>ｃｍ4</t>
  </si>
  <si>
    <t>⊿</t>
  </si>
  <si>
    <t>∑ω</t>
  </si>
  <si>
    <t>スパン</t>
  </si>
  <si>
    <t>ｍ</t>
  </si>
  <si>
    <t>Ｅ＝</t>
  </si>
  <si>
    <t>ｍｍ</t>
  </si>
  <si>
    <t>ＫＮ・ｍ</t>
  </si>
  <si>
    <t>Ｈ～Ｎ行の左端からの距離の数値は自由に変えられます。</t>
  </si>
  <si>
    <t>両端自由端</t>
  </si>
  <si>
    <t>左端</t>
  </si>
  <si>
    <t>荷重Ｐに荷重の大きさを入力します。</t>
  </si>
  <si>
    <t>ａに集中荷重の位置（左側より）を入力します。</t>
  </si>
  <si>
    <t>Ｅ＝にヤング係数を入力します。</t>
  </si>
  <si>
    <t>Ｉ＝梁の断面２次モーメントを入力します。</t>
  </si>
  <si>
    <t>ＴＯＴＡＬ　＝集中荷重+等分布荷重（⊿）（ｍｍ）</t>
  </si>
  <si>
    <t>　　　最大撓み　1/</t>
  </si>
  <si>
    <t>■梁の設計</t>
  </si>
  <si>
    <t>長期荷重</t>
  </si>
  <si>
    <t>CASE-01</t>
  </si>
  <si>
    <t>梁記号</t>
  </si>
  <si>
    <t>Ｉ型鋼も使えます</t>
  </si>
  <si>
    <t>使用材料</t>
  </si>
  <si>
    <t>鋼材種別</t>
  </si>
  <si>
    <t>SS400</t>
  </si>
  <si>
    <t>Ｈ</t>
  </si>
  <si>
    <t>Ｂ</t>
  </si>
  <si>
    <t>t1</t>
  </si>
  <si>
    <t>t2</t>
  </si>
  <si>
    <t>ｒ</t>
  </si>
  <si>
    <t>面積</t>
  </si>
  <si>
    <t>重量</t>
  </si>
  <si>
    <t>断面2次M</t>
  </si>
  <si>
    <t>断面2次半径</t>
  </si>
  <si>
    <t>断面係数</t>
  </si>
  <si>
    <t>ｉｙ</t>
  </si>
  <si>
    <t>ｉｙ・ｈ/Ａｆ</t>
  </si>
  <si>
    <t>基準強度Ｆ</t>
  </si>
  <si>
    <t>Ｎ/mm2</t>
  </si>
  <si>
    <t>ｍｍ</t>
  </si>
  <si>
    <t>cm2</t>
  </si>
  <si>
    <t>ｋｇ/ｍ</t>
  </si>
  <si>
    <t>ｃｍ4</t>
  </si>
  <si>
    <t>ｃｍ</t>
  </si>
  <si>
    <t>ｃｍ3</t>
  </si>
  <si>
    <t>材長</t>
  </si>
  <si>
    <t>cm</t>
  </si>
  <si>
    <t>拘束倍率</t>
  </si>
  <si>
    <t>ｌｂ圧縮ﾌﾗﾝｼﾞの支点間距離</t>
  </si>
  <si>
    <t>ｃｍ</t>
  </si>
  <si>
    <t>反り定数</t>
  </si>
  <si>
    <t>ｻﾝﾌﾞﾅﾝ定数</t>
  </si>
  <si>
    <t>Ｍy</t>
  </si>
  <si>
    <t>Ｍe</t>
  </si>
  <si>
    <t>λb</t>
  </si>
  <si>
    <t>弾性細長限界比</t>
  </si>
  <si>
    <t>せん断面積</t>
  </si>
  <si>
    <t>Nmax</t>
  </si>
  <si>
    <t>Ｎ （強軸曲）</t>
  </si>
  <si>
    <t>Mmax</t>
  </si>
  <si>
    <t>Ｎ・cｍ</t>
  </si>
  <si>
    <t>Qmax</t>
  </si>
  <si>
    <t>Ｎ</t>
  </si>
  <si>
    <t>Iｗ　　ｃｍ6</t>
  </si>
  <si>
    <t>　Ｊ　　ｃｍ4</t>
  </si>
  <si>
    <t>Ｎ・ｃｍ</t>
  </si>
  <si>
    <t>eλb　</t>
  </si>
  <si>
    <t>mm2</t>
  </si>
  <si>
    <t>　 （弱軸曲）</t>
  </si>
  <si>
    <t>λb≦pλb　の時</t>
  </si>
  <si>
    <t>ｆb＝F/ν</t>
  </si>
  <si>
    <t>Ｎ/mm2</t>
  </si>
  <si>
    <t>補剛区間内で曲げモーメントが直線的に変化</t>
  </si>
  <si>
    <t>pλb＜λb≦eλb　の時</t>
  </si>
  <si>
    <t>（Ｎ18）セル代入値</t>
  </si>
  <si>
    <t>ｆｂ＝｛1-0.4（λb－pλb）/（eλb－pλb）｝F/ν</t>
  </si>
  <si>
    <t>Ｎ/mm2</t>
  </si>
  <si>
    <t>圧縮フランジの支点間距離　ｌｂ</t>
  </si>
  <si>
    <t>cm</t>
  </si>
  <si>
    <t>eλb＜λb　の時</t>
  </si>
  <si>
    <t>Ｍ1：端部強軸曲げモーメント大きい方</t>
  </si>
  <si>
    <t>Ｎ・cm</t>
  </si>
  <si>
    <t>ｆｂ＝1/λb＾2・Ｆ/2.17</t>
  </si>
  <si>
    <t>Ｎ/mm2</t>
  </si>
  <si>
    <t>Ｍ2：端部強軸曲げモーメント小さい方</t>
  </si>
  <si>
    <t>（Ｎ18）セル代入値参照</t>
  </si>
  <si>
    <t>許容圧縮応力度（引張マイナス）</t>
  </si>
  <si>
    <t>許容曲げ応力度</t>
  </si>
  <si>
    <t>許容せん断応力度</t>
  </si>
  <si>
    <t>1.75+1.05（Ｍ2/Ｍ1）+0.3（Ｍ2/Ｍ1）＾2</t>
  </si>
  <si>
    <t>ｆｃ＝</t>
  </si>
  <si>
    <t>Ｎ/mm2</t>
  </si>
  <si>
    <t>fb(強軸）=</t>
  </si>
  <si>
    <t>Ｎ/mm2</t>
  </si>
  <si>
    <t>ｆｓ=</t>
  </si>
  <si>
    <t>Ｃ：</t>
  </si>
  <si>
    <t>fb(弱軸）=</t>
  </si>
  <si>
    <t>　　　　　　　　　　　　　　　　　　　　　　　　　　　　　　　　</t>
  </si>
  <si>
    <t>pλb＝0.6+0.3（Ｍ2/Ｍ1）</t>
  </si>
  <si>
    <t>補剛区間で曲げモーメントが最大</t>
  </si>
  <si>
    <t>応力度（引張マイナス）</t>
  </si>
  <si>
    <t>ν＝3/2+2/3（λb/eλb）^2</t>
  </si>
  <si>
    <t>σc＝</t>
  </si>
  <si>
    <t>Ｎ/mm2</t>
  </si>
  <si>
    <t>σｂａ（強軸）＝</t>
  </si>
  <si>
    <t>Ｎ/mm2</t>
  </si>
  <si>
    <t>τmax＝</t>
  </si>
  <si>
    <t>σｂc（弱軸）＝</t>
  </si>
  <si>
    <t>4)許容圧縮応力度</t>
  </si>
  <si>
    <t>λ＝ｌｋ/i ＝</t>
  </si>
  <si>
    <t xml:space="preserve">   λ：圧縮材の細長比     lk：座屈長さ</t>
  </si>
  <si>
    <t>i：座屈軸についての断面２次半径</t>
  </si>
  <si>
    <t>判定</t>
  </si>
  <si>
    <t>圧縮+曲げ</t>
  </si>
  <si>
    <t>σc/fc+σba/ｆｂ1+σｂｃ/ｆｂ2＝</t>
  </si>
  <si>
    <t>Λ：細長限界比</t>
  </si>
  <si>
    <t>引張り</t>
  </si>
  <si>
    <t>（ｔαｂ1+tσb2-αｃ）/ｆt＝</t>
  </si>
  <si>
    <t>Λ＝√（π＾2*Ｅ）/0.6Ｆ＝</t>
  </si>
  <si>
    <t>ν＝3/2+2/3（λ/Λ）＾2=</t>
  </si>
  <si>
    <t>せん断</t>
  </si>
  <si>
    <t>τmax/ｆｓ＝</t>
  </si>
  <si>
    <t xml:space="preserve">       ａ）全断面積について</t>
  </si>
  <si>
    <t>λ≦Λのとき</t>
  </si>
  <si>
    <t>ｆｃ＝｛1-0.4（λ/Λ）~2｝F/ν</t>
  </si>
  <si>
    <t>λ＞Λのとき</t>
  </si>
  <si>
    <t>ｆｃ＝0.277Ｆ/（λ/Λ）＾2</t>
  </si>
  <si>
    <t>本条件は</t>
  </si>
  <si>
    <t>ｆｃ＝</t>
  </si>
  <si>
    <t>Ｎ/ｍｍ2</t>
  </si>
  <si>
    <t>短期荷重</t>
  </si>
  <si>
    <t>風</t>
  </si>
  <si>
    <t>Ｎ/ｃｍ2</t>
  </si>
  <si>
    <t>ton/cm2</t>
  </si>
  <si>
    <t>Ｎ/ｃｍ2</t>
  </si>
  <si>
    <t>ton/cm2</t>
  </si>
  <si>
    <t>拘束条件の倍率</t>
  </si>
  <si>
    <t>移動に対する条件</t>
  </si>
  <si>
    <t>拘　　束</t>
  </si>
  <si>
    <t>自由</t>
  </si>
  <si>
    <t>回転に対する条件</t>
  </si>
  <si>
    <t>両端自由</t>
  </si>
  <si>
    <t>両端拘束</t>
  </si>
  <si>
    <t>1端自由他端拘束</t>
  </si>
  <si>
    <t>ｌ×ｋ</t>
  </si>
  <si>
    <t>ｌ</t>
  </si>
  <si>
    <t>0.5ｌ</t>
  </si>
  <si>
    <t>0.7ｌ</t>
  </si>
  <si>
    <t>Ｑmax＝</t>
  </si>
  <si>
    <t>Ｍmax＝</t>
  </si>
  <si>
    <t>　Ｈ-200×100×5.5×8</t>
  </si>
  <si>
    <t>自重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</si>
</sst>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E+00"/>
    <numFmt numFmtId="178" formatCode="0.000_ "/>
    <numFmt numFmtId="179" formatCode="0_ "/>
    <numFmt numFmtId="180" formatCode="0.0_ "/>
    <numFmt numFmtId="181" formatCode="0_);[Red]\(0\)"/>
    <numFmt numFmtId="182" formatCode="0.00_);[Red]\(0.00\)"/>
    <numFmt numFmtId="183" formatCode="#,##0.00_ "/>
    <numFmt numFmtId="184" formatCode="#,##0_ "/>
  </numFmts>
  <fonts count="11"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i/>
      <sz val="10"/>
      <name val="ＭＳ Ｐゴシック"/>
      <family val="3"/>
    </font>
    <font>
      <b/>
      <sz val="10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medium">
        <color indexed="48"/>
      </left>
      <right>
        <color indexed="63"/>
      </right>
      <top style="medium">
        <color indexed="48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48"/>
      </bottom>
    </border>
    <border>
      <left style="thin">
        <color indexed="48"/>
      </left>
      <right style="thin">
        <color indexed="48"/>
      </right>
      <top style="medium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medium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thin">
        <color indexed="40"/>
      </bottom>
    </border>
    <border>
      <left>
        <color indexed="63"/>
      </left>
      <right style="medium">
        <color indexed="48"/>
      </right>
      <top style="medium">
        <color indexed="48"/>
      </top>
      <bottom style="thin">
        <color indexed="40"/>
      </bottom>
    </border>
    <border>
      <left style="thin">
        <color indexed="48"/>
      </left>
      <right style="thin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medium">
        <color indexed="12"/>
      </bottom>
    </border>
    <border>
      <left style="medium">
        <color indexed="48"/>
      </left>
      <right>
        <color indexed="63"/>
      </right>
      <top>
        <color indexed="63"/>
      </top>
      <bottom style="medium">
        <color indexed="12"/>
      </bottom>
    </border>
    <border>
      <left style="thin">
        <color indexed="48"/>
      </left>
      <right style="thin">
        <color indexed="48"/>
      </right>
      <top style="medium">
        <color indexed="12"/>
      </top>
      <bottom style="medium">
        <color indexed="48"/>
      </bottom>
    </border>
    <border>
      <left>
        <color indexed="63"/>
      </left>
      <right style="medium">
        <color indexed="48"/>
      </right>
      <top style="medium">
        <color indexed="12"/>
      </top>
      <bottom style="medium">
        <color indexed="48"/>
      </bottom>
    </border>
    <border>
      <left style="medium">
        <color indexed="48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48"/>
      </top>
      <bottom style="medium">
        <color indexed="48"/>
      </bottom>
    </border>
    <border>
      <left>
        <color indexed="63"/>
      </left>
      <right style="thin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0"/>
      </bottom>
    </border>
    <border>
      <left>
        <color indexed="63"/>
      </left>
      <right style="medium">
        <color indexed="48"/>
      </right>
      <top style="medium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0"/>
      </top>
      <bottom>
        <color indexed="63"/>
      </bottom>
    </border>
    <border>
      <left>
        <color indexed="63"/>
      </left>
      <right style="medium">
        <color indexed="48"/>
      </right>
      <top style="thin">
        <color indexed="40"/>
      </top>
      <bottom>
        <color indexed="63"/>
      </bottom>
    </border>
    <border>
      <left style="thin">
        <color indexed="48"/>
      </left>
      <right style="medium">
        <color indexed="48"/>
      </right>
      <top>
        <color indexed="63"/>
      </top>
      <bottom style="thin">
        <color indexed="40"/>
      </bottom>
    </border>
    <border>
      <left style="thin">
        <color indexed="48"/>
      </left>
      <right style="medium">
        <color indexed="48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12"/>
      </bottom>
    </border>
    <border>
      <left style="medium">
        <color indexed="48"/>
      </left>
      <right style="thin">
        <color indexed="48"/>
      </right>
      <top style="medium">
        <color indexed="48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 style="thin">
        <color indexed="40"/>
      </bottom>
    </border>
    <border>
      <left style="medium">
        <color indexed="48"/>
      </left>
      <right>
        <color indexed="63"/>
      </right>
      <top style="thin">
        <color indexed="40"/>
      </top>
      <bottom>
        <color indexed="63"/>
      </bottom>
    </border>
    <border>
      <left style="medium">
        <color indexed="48"/>
      </left>
      <right>
        <color indexed="63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48"/>
      </left>
      <right>
        <color indexed="63"/>
      </right>
      <top style="medium">
        <color indexed="12"/>
      </top>
      <bottom>
        <color indexed="63"/>
      </bottom>
    </border>
    <border>
      <left style="thin">
        <color indexed="40"/>
      </left>
      <right style="thin">
        <color indexed="40"/>
      </right>
      <top style="medium">
        <color indexed="12"/>
      </top>
      <bottom style="thin">
        <color indexed="40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48"/>
      </bottom>
    </border>
    <border>
      <left style="thin">
        <color indexed="48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 style="medium">
        <color indexed="48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0"/>
      </top>
      <bottom style="medium">
        <color indexed="48"/>
      </bottom>
    </border>
    <border>
      <left style="thin">
        <color indexed="48"/>
      </left>
      <right style="medium">
        <color indexed="48"/>
      </right>
      <top style="thin">
        <color indexed="40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12"/>
      </top>
      <bottom>
        <color indexed="63"/>
      </bottom>
    </border>
    <border>
      <left style="thin">
        <color indexed="48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48"/>
      </right>
      <top style="thin">
        <color indexed="12"/>
      </top>
      <bottom style="thin">
        <color indexed="12"/>
      </bottom>
    </border>
    <border>
      <left style="thin">
        <color indexed="48"/>
      </left>
      <right style="thin">
        <color indexed="48"/>
      </right>
      <top style="thin">
        <color indexed="12"/>
      </top>
      <bottom style="thin">
        <color indexed="12"/>
      </bottom>
    </border>
    <border>
      <left style="thin">
        <color indexed="48"/>
      </left>
      <right style="thin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thin">
        <color indexed="12"/>
      </bottom>
    </border>
    <border>
      <left style="medium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vertical="center"/>
    </xf>
    <xf numFmtId="176" fontId="3" fillId="2" borderId="7" xfId="0" applyNumberFormat="1" applyFont="1" applyFill="1" applyBorder="1" applyAlignment="1">
      <alignment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2" borderId="11" xfId="0" applyNumberFormat="1" applyFont="1" applyFill="1" applyBorder="1" applyAlignment="1">
      <alignment vertical="center"/>
    </xf>
    <xf numFmtId="176" fontId="3" fillId="2" borderId="12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76" fontId="3" fillId="2" borderId="15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176" fontId="3" fillId="3" borderId="18" xfId="0" applyNumberFormat="1" applyFont="1" applyFill="1" applyBorder="1" applyAlignment="1">
      <alignment vertical="center"/>
    </xf>
    <xf numFmtId="176" fontId="3" fillId="3" borderId="19" xfId="0" applyNumberFormat="1" applyFont="1" applyFill="1" applyBorder="1" applyAlignment="1">
      <alignment vertical="center"/>
    </xf>
    <xf numFmtId="176" fontId="3" fillId="3" borderId="11" xfId="0" applyNumberFormat="1" applyFont="1" applyFill="1" applyBorder="1" applyAlignment="1">
      <alignment vertical="center"/>
    </xf>
    <xf numFmtId="176" fontId="3" fillId="3" borderId="20" xfId="0" applyNumberFormat="1" applyFont="1" applyFill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vertical="center"/>
    </xf>
    <xf numFmtId="176" fontId="3" fillId="2" borderId="22" xfId="0" applyNumberFormat="1" applyFont="1" applyFill="1" applyBorder="1" applyAlignment="1">
      <alignment vertical="center"/>
    </xf>
    <xf numFmtId="176" fontId="3" fillId="0" borderId="23" xfId="0" applyNumberFormat="1" applyFont="1" applyBorder="1" applyAlignment="1">
      <alignment vertical="center"/>
    </xf>
    <xf numFmtId="176" fontId="3" fillId="0" borderId="24" xfId="0" applyNumberFormat="1" applyFont="1" applyBorder="1" applyAlignment="1">
      <alignment vertical="center"/>
    </xf>
    <xf numFmtId="176" fontId="3" fillId="2" borderId="5" xfId="0" applyNumberFormat="1" applyFont="1" applyFill="1" applyBorder="1" applyAlignment="1">
      <alignment vertical="center"/>
    </xf>
    <xf numFmtId="176" fontId="3" fillId="3" borderId="19" xfId="0" applyNumberFormat="1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2" borderId="21" xfId="0" applyNumberFormat="1" applyFont="1" applyFill="1" applyBorder="1" applyAlignment="1">
      <alignment vertical="center"/>
    </xf>
    <xf numFmtId="176" fontId="3" fillId="2" borderId="23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176" fontId="3" fillId="2" borderId="8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2" borderId="22" xfId="0" applyFont="1" applyFill="1" applyBorder="1" applyAlignment="1">
      <alignment vertical="center"/>
    </xf>
    <xf numFmtId="176" fontId="3" fillId="2" borderId="7" xfId="0" applyNumberFormat="1" applyFont="1" applyFill="1" applyBorder="1" applyAlignment="1" quotePrefix="1">
      <alignment horizontal="right" vertical="center"/>
    </xf>
    <xf numFmtId="176" fontId="3" fillId="2" borderId="27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6" fontId="3" fillId="4" borderId="6" xfId="0" applyNumberFormat="1" applyFont="1" applyFill="1" applyBorder="1" applyAlignment="1">
      <alignment vertical="center"/>
    </xf>
    <xf numFmtId="176" fontId="3" fillId="4" borderId="23" xfId="0" applyNumberFormat="1" applyFont="1" applyFill="1" applyBorder="1" applyAlignment="1">
      <alignment vertical="center"/>
    </xf>
    <xf numFmtId="0" fontId="3" fillId="4" borderId="28" xfId="0" applyFont="1" applyFill="1" applyBorder="1" applyAlignment="1">
      <alignment vertical="center"/>
    </xf>
    <xf numFmtId="0" fontId="3" fillId="4" borderId="29" xfId="0" applyFont="1" applyFill="1" applyBorder="1" applyAlignment="1">
      <alignment vertical="center"/>
    </xf>
    <xf numFmtId="0" fontId="3" fillId="4" borderId="30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176" fontId="3" fillId="4" borderId="8" xfId="0" applyNumberFormat="1" applyFont="1" applyFill="1" applyBorder="1" applyAlignment="1">
      <alignment vertical="center"/>
    </xf>
    <xf numFmtId="176" fontId="7" fillId="2" borderId="32" xfId="0" applyNumberFormat="1" applyFont="1" applyFill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3" fillId="4" borderId="32" xfId="0" applyNumberFormat="1" applyFont="1" applyFill="1" applyBorder="1" applyAlignment="1">
      <alignment vertical="center"/>
    </xf>
    <xf numFmtId="176" fontId="3" fillId="4" borderId="8" xfId="0" applyNumberFormat="1" applyFont="1" applyFill="1" applyBorder="1" applyAlignment="1">
      <alignment horizontal="center" vertical="center"/>
    </xf>
    <xf numFmtId="176" fontId="3" fillId="4" borderId="26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176" fontId="3" fillId="2" borderId="33" xfId="0" applyNumberFormat="1" applyFont="1" applyFill="1" applyBorder="1" applyAlignment="1">
      <alignment vertical="center"/>
    </xf>
    <xf numFmtId="176" fontId="3" fillId="2" borderId="31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3" fillId="2" borderId="34" xfId="0" applyNumberFormat="1" applyFont="1" applyFill="1" applyBorder="1" applyAlignment="1">
      <alignment horizontal="right" vertical="center"/>
    </xf>
    <xf numFmtId="176" fontId="3" fillId="2" borderId="35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176" fontId="7" fillId="4" borderId="37" xfId="0" applyNumberFormat="1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76" fontId="3" fillId="5" borderId="7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179" fontId="7" fillId="2" borderId="32" xfId="0" applyNumberFormat="1" applyFont="1" applyFill="1" applyBorder="1" applyAlignment="1">
      <alignment vertical="center"/>
    </xf>
    <xf numFmtId="176" fontId="3" fillId="4" borderId="43" xfId="0" applyNumberFormat="1" applyFont="1" applyFill="1" applyBorder="1" applyAlignment="1">
      <alignment horizontal="center" vertical="center"/>
    </xf>
    <xf numFmtId="176" fontId="3" fillId="4" borderId="43" xfId="0" applyNumberFormat="1" applyFont="1" applyFill="1" applyBorder="1" applyAlignment="1">
      <alignment vertical="center"/>
    </xf>
    <xf numFmtId="176" fontId="3" fillId="4" borderId="44" xfId="0" applyNumberFormat="1" applyFont="1" applyFill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5" xfId="0" applyFont="1" applyBorder="1" applyAlignment="1">
      <alignment horizontal="right"/>
    </xf>
    <xf numFmtId="0" fontId="7" fillId="4" borderId="45" xfId="0" applyFont="1" applyFill="1" applyBorder="1" applyAlignment="1">
      <alignment horizontal="center"/>
    </xf>
    <xf numFmtId="0" fontId="7" fillId="0" borderId="46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4" borderId="48" xfId="0" applyFont="1" applyFill="1" applyBorder="1" applyAlignment="1">
      <alignment horizontal="right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4" borderId="48" xfId="0" applyFont="1" applyFill="1" applyBorder="1" applyAlignment="1">
      <alignment vertical="center"/>
    </xf>
    <xf numFmtId="0" fontId="7" fillId="0" borderId="54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7" fillId="0" borderId="56" xfId="0" applyFont="1" applyBorder="1" applyAlignment="1">
      <alignment vertical="center"/>
    </xf>
    <xf numFmtId="0" fontId="7" fillId="4" borderId="57" xfId="0" applyFont="1" applyFill="1" applyBorder="1" applyAlignment="1">
      <alignment vertical="center"/>
    </xf>
    <xf numFmtId="176" fontId="7" fillId="2" borderId="48" xfId="0" applyNumberFormat="1" applyFont="1" applyFill="1" applyBorder="1" applyAlignment="1">
      <alignment vertical="center"/>
    </xf>
    <xf numFmtId="180" fontId="7" fillId="2" borderId="48" xfId="0" applyNumberFormat="1" applyFont="1" applyFill="1" applyBorder="1" applyAlignment="1">
      <alignment vertical="center"/>
    </xf>
    <xf numFmtId="179" fontId="7" fillId="2" borderId="48" xfId="0" applyNumberFormat="1" applyFont="1" applyFill="1" applyBorder="1" applyAlignment="1">
      <alignment vertical="center"/>
    </xf>
    <xf numFmtId="180" fontId="7" fillId="4" borderId="58" xfId="0" applyNumberFormat="1" applyFont="1" applyFill="1" applyBorder="1" applyAlignment="1">
      <alignment vertical="center"/>
    </xf>
    <xf numFmtId="176" fontId="7" fillId="4" borderId="58" xfId="0" applyNumberFormat="1" applyFont="1" applyFill="1" applyBorder="1" applyAlignment="1">
      <alignment vertical="center"/>
    </xf>
    <xf numFmtId="0" fontId="7" fillId="2" borderId="58" xfId="0" applyFont="1" applyFill="1" applyBorder="1" applyAlignment="1">
      <alignment vertical="center"/>
    </xf>
    <xf numFmtId="0" fontId="7" fillId="4" borderId="58" xfId="0" applyFont="1" applyFill="1" applyBorder="1" applyAlignment="1">
      <alignment vertical="center"/>
    </xf>
    <xf numFmtId="0" fontId="7" fillId="0" borderId="52" xfId="0" applyFont="1" applyBorder="1" applyAlignment="1">
      <alignment horizontal="right"/>
    </xf>
    <xf numFmtId="180" fontId="7" fillId="0" borderId="0" xfId="0" applyNumberFormat="1" applyFont="1" applyFill="1" applyBorder="1" applyAlignment="1">
      <alignment vertical="center"/>
    </xf>
    <xf numFmtId="178" fontId="7" fillId="2" borderId="48" xfId="0" applyNumberFormat="1" applyFont="1" applyFill="1" applyBorder="1" applyAlignment="1">
      <alignment vertical="center"/>
    </xf>
    <xf numFmtId="181" fontId="7" fillId="2" borderId="48" xfId="0" applyNumberFormat="1" applyFont="1" applyFill="1" applyBorder="1" applyAlignment="1">
      <alignment vertical="center"/>
    </xf>
    <xf numFmtId="176" fontId="7" fillId="2" borderId="57" xfId="0" applyNumberFormat="1" applyFont="1" applyFill="1" applyBorder="1" applyAlignment="1">
      <alignment vertical="center"/>
    </xf>
    <xf numFmtId="0" fontId="7" fillId="2" borderId="59" xfId="0" applyFont="1" applyFill="1" applyBorder="1" applyAlignment="1">
      <alignment vertical="center"/>
    </xf>
    <xf numFmtId="0" fontId="7" fillId="2" borderId="48" xfId="0" applyFont="1" applyFill="1" applyBorder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right"/>
    </xf>
    <xf numFmtId="182" fontId="7" fillId="2" borderId="58" xfId="0" applyNumberFormat="1" applyFont="1" applyFill="1" applyBorder="1" applyAlignment="1">
      <alignment vertical="center"/>
    </xf>
    <xf numFmtId="179" fontId="7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horizontal="left"/>
    </xf>
    <xf numFmtId="179" fontId="7" fillId="0" borderId="0" xfId="0" applyNumberFormat="1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179" fontId="7" fillId="2" borderId="5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2" borderId="58" xfId="0" applyNumberFormat="1" applyFont="1" applyFill="1" applyBorder="1" applyAlignment="1">
      <alignment vertical="center"/>
    </xf>
    <xf numFmtId="182" fontId="7" fillId="2" borderId="58" xfId="0" applyNumberFormat="1" applyFont="1" applyFill="1" applyBorder="1" applyAlignment="1">
      <alignment/>
    </xf>
    <xf numFmtId="182" fontId="7" fillId="0" borderId="0" xfId="0" applyNumberFormat="1" applyFont="1" applyAlignment="1">
      <alignment vertical="center"/>
    </xf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182" fontId="7" fillId="0" borderId="0" xfId="0" applyNumberFormat="1" applyFont="1" applyAlignment="1">
      <alignment/>
    </xf>
    <xf numFmtId="0" fontId="7" fillId="0" borderId="60" xfId="0" applyFont="1" applyFill="1" applyBorder="1" applyAlignment="1">
      <alignment vertical="center"/>
    </xf>
    <xf numFmtId="176" fontId="7" fillId="2" borderId="6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7" fillId="2" borderId="58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176" fontId="7" fillId="0" borderId="6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180" fontId="7" fillId="2" borderId="58" xfId="0" applyNumberFormat="1" applyFont="1" applyFill="1" applyBorder="1" applyAlignment="1">
      <alignment vertical="center"/>
    </xf>
    <xf numFmtId="183" fontId="7" fillId="3" borderId="58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183" fontId="7" fillId="2" borderId="58" xfId="0" applyNumberFormat="1" applyFont="1" applyFill="1" applyBorder="1" applyAlignment="1">
      <alignment vertical="center"/>
    </xf>
    <xf numFmtId="0" fontId="7" fillId="2" borderId="45" xfId="0" applyFont="1" applyFill="1" applyBorder="1" applyAlignment="1">
      <alignment horizontal="right"/>
    </xf>
    <xf numFmtId="0" fontId="7" fillId="2" borderId="45" xfId="0" applyFont="1" applyFill="1" applyBorder="1" applyAlignment="1">
      <alignment horizontal="center"/>
    </xf>
    <xf numFmtId="184" fontId="7" fillId="2" borderId="58" xfId="0" applyNumberFormat="1" applyFont="1" applyFill="1" applyBorder="1" applyAlignment="1">
      <alignment vertical="center"/>
    </xf>
    <xf numFmtId="183" fontId="7" fillId="5" borderId="58" xfId="0" applyNumberFormat="1" applyFont="1" applyFill="1" applyBorder="1" applyAlignment="1">
      <alignment vertical="center"/>
    </xf>
    <xf numFmtId="0" fontId="7" fillId="2" borderId="48" xfId="0" applyFont="1" applyFill="1" applyBorder="1" applyAlignment="1">
      <alignment horizontal="right"/>
    </xf>
    <xf numFmtId="0" fontId="7" fillId="2" borderId="57" xfId="0" applyFont="1" applyFill="1" applyBorder="1" applyAlignment="1">
      <alignment vertical="center"/>
    </xf>
    <xf numFmtId="0" fontId="7" fillId="2" borderId="63" xfId="0" applyFont="1" applyFill="1" applyBorder="1" applyAlignment="1">
      <alignment vertical="center"/>
    </xf>
    <xf numFmtId="0" fontId="7" fillId="2" borderId="64" xfId="0" applyFont="1" applyFill="1" applyBorder="1" applyAlignment="1">
      <alignment vertical="center"/>
    </xf>
    <xf numFmtId="0" fontId="7" fillId="2" borderId="65" xfId="0" applyFont="1" applyFill="1" applyBorder="1" applyAlignment="1">
      <alignment vertical="center"/>
    </xf>
    <xf numFmtId="0" fontId="7" fillId="2" borderId="66" xfId="0" applyFont="1" applyFill="1" applyBorder="1" applyAlignment="1">
      <alignment vertical="center"/>
    </xf>
    <xf numFmtId="6" fontId="7" fillId="0" borderId="67" xfId="18" applyFont="1" applyBorder="1" applyAlignment="1">
      <alignment horizontal="left"/>
    </xf>
    <xf numFmtId="6" fontId="7" fillId="0" borderId="68" xfId="18" applyFont="1" applyBorder="1" applyAlignment="1">
      <alignment horizontal="center"/>
    </xf>
    <xf numFmtId="6" fontId="7" fillId="0" borderId="67" xfId="18" applyFont="1" applyBorder="1" applyAlignment="1">
      <alignment horizontal="center"/>
    </xf>
    <xf numFmtId="6" fontId="7" fillId="0" borderId="69" xfId="18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 horizontal="left"/>
    </xf>
    <xf numFmtId="0" fontId="7" fillId="0" borderId="63" xfId="0" applyFont="1" applyBorder="1" applyAlignment="1">
      <alignment horizontal="center"/>
    </xf>
    <xf numFmtId="0" fontId="7" fillId="0" borderId="70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71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75" xfId="0" applyFont="1" applyBorder="1" applyAlignment="1">
      <alignment horizontal="center"/>
    </xf>
    <xf numFmtId="0" fontId="7" fillId="0" borderId="76" xfId="0" applyFont="1" applyBorder="1" applyAlignment="1">
      <alignment horizontal="center"/>
    </xf>
    <xf numFmtId="179" fontId="7" fillId="4" borderId="58" xfId="0" applyNumberFormat="1" applyFont="1" applyFill="1" applyBorder="1" applyAlignment="1">
      <alignment vertical="center"/>
    </xf>
    <xf numFmtId="176" fontId="7" fillId="2" borderId="37" xfId="0" applyNumberFormat="1" applyFont="1" applyFill="1" applyBorder="1" applyAlignment="1">
      <alignment vertical="center"/>
    </xf>
    <xf numFmtId="177" fontId="3" fillId="5" borderId="32" xfId="0" applyNumberFormat="1" applyFont="1" applyFill="1" applyBorder="1" applyAlignment="1">
      <alignment vertical="center"/>
    </xf>
    <xf numFmtId="0" fontId="3" fillId="4" borderId="63" xfId="0" applyFont="1" applyFill="1" applyBorder="1" applyAlignment="1">
      <alignment vertical="center"/>
    </xf>
    <xf numFmtId="0" fontId="3" fillId="4" borderId="64" xfId="0" applyFont="1" applyFill="1" applyBorder="1" applyAlignment="1">
      <alignment vertical="center"/>
    </xf>
    <xf numFmtId="0" fontId="3" fillId="4" borderId="65" xfId="0" applyFont="1" applyFill="1" applyBorder="1" applyAlignment="1">
      <alignment vertical="center"/>
    </xf>
    <xf numFmtId="0" fontId="3" fillId="4" borderId="66" xfId="0" applyFont="1" applyFill="1" applyBorder="1" applyAlignment="1">
      <alignment vertical="center"/>
    </xf>
    <xf numFmtId="0" fontId="7" fillId="0" borderId="77" xfId="0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79" xfId="0" applyFont="1" applyBorder="1" applyAlignment="1">
      <alignment horizontal="left" vertical="center"/>
    </xf>
    <xf numFmtId="179" fontId="3" fillId="2" borderId="17" xfId="0" applyNumberFormat="1" applyFont="1" applyFill="1" applyBorder="1" applyAlignment="1">
      <alignment horizontal="center" vertical="center"/>
    </xf>
    <xf numFmtId="179" fontId="3" fillId="2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5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35</xdr:row>
      <xdr:rowOff>57150</xdr:rowOff>
    </xdr:from>
    <xdr:to>
      <xdr:col>7</xdr:col>
      <xdr:colOff>800100</xdr:colOff>
      <xdr:row>41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210300"/>
          <a:ext cx="6600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35</xdr:row>
      <xdr:rowOff>57150</xdr:rowOff>
    </xdr:from>
    <xdr:to>
      <xdr:col>7</xdr:col>
      <xdr:colOff>800100</xdr:colOff>
      <xdr:row>41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210300"/>
          <a:ext cx="66008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142875</xdr:colOff>
      <xdr:row>5</xdr:row>
      <xdr:rowOff>114300</xdr:rowOff>
    </xdr:from>
    <xdr:to>
      <xdr:col>10</xdr:col>
      <xdr:colOff>533400</xdr:colOff>
      <xdr:row>11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1028700"/>
          <a:ext cx="1228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1219200</xdr:colOff>
      <xdr:row>11</xdr:row>
      <xdr:rowOff>114300</xdr:rowOff>
    </xdr:from>
    <xdr:to>
      <xdr:col>17</xdr:col>
      <xdr:colOff>219075</xdr:colOff>
      <xdr:row>17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87400" y="2114550"/>
          <a:ext cx="1933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19</xdr:row>
      <xdr:rowOff>95250</xdr:rowOff>
    </xdr:from>
    <xdr:to>
      <xdr:col>17</xdr:col>
      <xdr:colOff>295275</xdr:colOff>
      <xdr:row>21</xdr:row>
      <xdr:rowOff>171450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63600" y="3543300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33</xdr:row>
      <xdr:rowOff>114300</xdr:rowOff>
    </xdr:from>
    <xdr:to>
      <xdr:col>10</xdr:col>
      <xdr:colOff>533400</xdr:colOff>
      <xdr:row>39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105525"/>
          <a:ext cx="1228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1219200</xdr:colOff>
      <xdr:row>39</xdr:row>
      <xdr:rowOff>114300</xdr:rowOff>
    </xdr:from>
    <xdr:to>
      <xdr:col>17</xdr:col>
      <xdr:colOff>219075</xdr:colOff>
      <xdr:row>45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87400" y="7191375"/>
          <a:ext cx="19335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38100</xdr:colOff>
      <xdr:row>47</xdr:row>
      <xdr:rowOff>95250</xdr:rowOff>
    </xdr:from>
    <xdr:to>
      <xdr:col>17</xdr:col>
      <xdr:colOff>295275</xdr:colOff>
      <xdr:row>49</xdr:row>
      <xdr:rowOff>171450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63600" y="8610600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1"/>
  <sheetViews>
    <sheetView tabSelected="1" workbookViewId="0" topLeftCell="A1">
      <selection activeCell="I20" sqref="I20"/>
    </sheetView>
  </sheetViews>
  <sheetFormatPr defaultColWidth="8.796875" defaultRowHeight="14.25"/>
  <sheetData>
    <row r="1" spans="1:15" ht="14.25" thickBot="1">
      <c r="A1" s="80" t="s">
        <v>4</v>
      </c>
      <c r="B1" s="196"/>
      <c r="C1" s="197"/>
      <c r="D1" s="198"/>
      <c r="F1" s="55"/>
      <c r="O1" s="55" t="s">
        <v>36</v>
      </c>
    </row>
    <row r="2" spans="1:21" ht="14.25" thickBot="1">
      <c r="A2" s="2" t="s">
        <v>32</v>
      </c>
      <c r="B2" s="55"/>
      <c r="C2" s="55" t="s">
        <v>26</v>
      </c>
      <c r="D2" s="81">
        <v>3.6</v>
      </c>
      <c r="E2" s="55" t="s">
        <v>27</v>
      </c>
      <c r="G2" s="82" t="s">
        <v>28</v>
      </c>
      <c r="H2" s="67">
        <v>205000000</v>
      </c>
      <c r="I2" s="66" t="s">
        <v>22</v>
      </c>
      <c r="J2" s="199">
        <f>'許容応力度計算'!L5</f>
        <v>1806.051011566428</v>
      </c>
      <c r="K2" s="200"/>
      <c r="L2" s="2" t="s">
        <v>23</v>
      </c>
      <c r="M2" s="2"/>
      <c r="N2" s="54"/>
      <c r="O2" s="55" t="s">
        <v>37</v>
      </c>
      <c r="P2" s="54"/>
      <c r="Q2" s="54"/>
      <c r="R2" s="54"/>
      <c r="S2" s="54"/>
      <c r="T2" s="54"/>
      <c r="U2" s="54"/>
    </row>
    <row r="3" spans="1:21" ht="13.5">
      <c r="A3" s="3" t="s">
        <v>7</v>
      </c>
      <c r="B3" s="50" t="s">
        <v>13</v>
      </c>
      <c r="C3" s="50" t="s">
        <v>14</v>
      </c>
      <c r="D3" s="50" t="s">
        <v>14</v>
      </c>
      <c r="E3" s="50" t="s">
        <v>14</v>
      </c>
      <c r="F3" s="8"/>
      <c r="G3" s="32" t="s">
        <v>33</v>
      </c>
      <c r="H3" s="95"/>
      <c r="I3" s="95"/>
      <c r="J3" s="95" t="s">
        <v>20</v>
      </c>
      <c r="K3" s="95"/>
      <c r="L3" s="95"/>
      <c r="M3" s="51" t="s">
        <v>16</v>
      </c>
      <c r="N3" s="54"/>
      <c r="P3" s="54"/>
      <c r="Q3" s="54"/>
      <c r="R3" s="54"/>
      <c r="S3" s="54"/>
      <c r="T3" s="54"/>
      <c r="U3" s="54"/>
    </row>
    <row r="4" spans="1:21" ht="14.25" thickBot="1">
      <c r="A4" s="7" t="s">
        <v>4</v>
      </c>
      <c r="B4" s="9" t="s">
        <v>3</v>
      </c>
      <c r="C4" s="9" t="s">
        <v>2</v>
      </c>
      <c r="D4" s="9" t="s">
        <v>0</v>
      </c>
      <c r="E4" s="9" t="s">
        <v>1</v>
      </c>
      <c r="F4" s="9"/>
      <c r="G4" s="52">
        <v>0</v>
      </c>
      <c r="H4" s="92">
        <f>D2/6</f>
        <v>0.6</v>
      </c>
      <c r="I4" s="92">
        <f>D2/6*2</f>
        <v>1.2</v>
      </c>
      <c r="J4" s="92">
        <f>D2/2</f>
        <v>1.8</v>
      </c>
      <c r="K4" s="92">
        <f>D2/6*4</f>
        <v>2.4</v>
      </c>
      <c r="L4" s="92">
        <f>D2/6*5</f>
        <v>3</v>
      </c>
      <c r="M4" s="6">
        <f>C5</f>
        <v>3.6</v>
      </c>
      <c r="N4" s="54"/>
      <c r="O4" s="55" t="s">
        <v>31</v>
      </c>
      <c r="P4" s="54"/>
      <c r="Q4" s="54"/>
      <c r="R4" s="54"/>
      <c r="S4" s="54"/>
      <c r="T4" s="54"/>
      <c r="U4" s="54"/>
    </row>
    <row r="5" spans="1:21" ht="13.5">
      <c r="A5" s="58" t="s">
        <v>7</v>
      </c>
      <c r="B5" s="56">
        <v>10</v>
      </c>
      <c r="C5" s="34">
        <f>D2</f>
        <v>3.6</v>
      </c>
      <c r="D5" s="56">
        <v>2</v>
      </c>
      <c r="E5" s="34">
        <f>C5-D5</f>
        <v>1.6</v>
      </c>
      <c r="F5" s="28" t="s">
        <v>9</v>
      </c>
      <c r="G5" s="12">
        <f aca="true" t="shared" si="0" ref="G5:M5">IF(G$4&lt;=$D5,$B5*$E5*G$4/($D5+$E5),$B5*$D5*($D5+$E5-G$4)/($D5+$E5))</f>
        <v>0</v>
      </c>
      <c r="H5" s="12">
        <f t="shared" si="0"/>
        <v>2.6666666666666665</v>
      </c>
      <c r="I5" s="12">
        <f t="shared" si="0"/>
        <v>5.333333333333333</v>
      </c>
      <c r="J5" s="12">
        <f t="shared" si="0"/>
        <v>8</v>
      </c>
      <c r="K5" s="12">
        <f t="shared" si="0"/>
        <v>6.666666666666668</v>
      </c>
      <c r="L5" s="12">
        <f t="shared" si="0"/>
        <v>3.333333333333334</v>
      </c>
      <c r="M5" s="13">
        <f t="shared" si="0"/>
        <v>0</v>
      </c>
      <c r="N5" s="54"/>
      <c r="O5" s="55"/>
      <c r="P5" s="54"/>
      <c r="Q5" s="54"/>
      <c r="R5" s="54"/>
      <c r="S5" s="54"/>
      <c r="T5" s="54"/>
      <c r="U5" s="54"/>
    </row>
    <row r="6" spans="1:21" ht="13.5">
      <c r="A6" s="62"/>
      <c r="B6" s="77"/>
      <c r="C6" s="49"/>
      <c r="D6" s="77"/>
      <c r="E6" s="49"/>
      <c r="F6" s="29" t="s">
        <v>10</v>
      </c>
      <c r="G6" s="27">
        <f aca="true" t="shared" si="1" ref="G6:L6">IF(G$4&lt;=$D5,$B5*$E5/$C5,-1*$B5*$D5/$C5)</f>
        <v>4.444444444444445</v>
      </c>
      <c r="H6" s="27">
        <f t="shared" si="1"/>
        <v>4.444444444444445</v>
      </c>
      <c r="I6" s="27">
        <f t="shared" si="1"/>
        <v>4.444444444444445</v>
      </c>
      <c r="J6" s="27">
        <f t="shared" si="1"/>
        <v>4.444444444444445</v>
      </c>
      <c r="K6" s="27">
        <f t="shared" si="1"/>
        <v>-5.555555555555555</v>
      </c>
      <c r="L6" s="27">
        <f t="shared" si="1"/>
        <v>-5.555555555555555</v>
      </c>
      <c r="M6" s="44">
        <f>IF(M$4&lt;=$D5,-B5,-1*$B5*$D5/$C5)</f>
        <v>-5.555555555555555</v>
      </c>
      <c r="N6" s="54"/>
      <c r="O6" s="93" t="s">
        <v>34</v>
      </c>
      <c r="P6" s="54"/>
      <c r="Q6" s="54"/>
      <c r="R6" s="54"/>
      <c r="S6" s="54"/>
      <c r="T6" s="54"/>
      <c r="U6" s="54"/>
    </row>
    <row r="7" spans="1:21" ht="13.5">
      <c r="A7" s="59"/>
      <c r="B7" s="43"/>
      <c r="C7" s="46"/>
      <c r="D7" s="43"/>
      <c r="E7" s="46"/>
      <c r="F7" s="68" t="s">
        <v>21</v>
      </c>
      <c r="G7" s="63">
        <v>0</v>
      </c>
      <c r="H7" s="63">
        <f>IF($D5*$E5=0,0,IF(H$4&lt;=$D5,$B5*$D5^2*$E5^2/(6*$H$2*$J$2/100000000*$D$2)*(2*H$4/$D5+H$4/$E5-H$4^3/($D5^2*$E5))*1000,$B5*$D5^2*$E5^2/(6*$H$2*$J$2/100000000*$D$2)*(2*($D$2-H$4)/$E5+($D$2-H$4)/$D5-($D$2-H$4)^3/($E5^2*$D5))*1000))</f>
        <v>1.2052227500760206</v>
      </c>
      <c r="I7" s="63">
        <f>IF($D5*$E5=0,0,IF(I$4&lt;=$D5,$B5*$D5^2*$E5^2/(6*$H$2*$J$2/100000000*$D$2)*(2*I$4/$D5+I$4/$E5-I$4^3/($D5^2*$E5))*1000,$B5*$D5^2*$E5^2/(6*$H$2*$J$2/100000000*$D$2)*(2*($D$2-I$4)/$E5+($D$2-I$4)/$D5-($D$2-I$4)^3/($E5^2*$D5))*1000))</f>
        <v>2.151154549936483</v>
      </c>
      <c r="J7" s="63">
        <f>IF($D5*$E5=0,0,IF(J$4&lt;=$D5,$B5*$D5^2*$E5^2/(6*$H$2*$J$2/100000000*$D$2)*(2*J$4/$D5+J$4/$E5-J$4^3/($D5^2*$E5))*1000,$B5*$D5^2*$E5^2/(6*$H$2*$J$2/100000000*$D$2)*(2*($D$2-J$4)/$E5+($D$2-J$4)/$D5-($D$2-J$4)^3/($E5^2*$D5))*1000))</f>
        <v>2.578504449365829</v>
      </c>
      <c r="K7" s="63">
        <f>IF($D5*$E5=0,0,IF(K$4&lt;=$D5,$B5*$D5^2*$E5^2/(6*$H$2*$J$2/100000000*$D$2)*(2*K$4/$D5+K$4/$E5-K$4^3/($D5^2*$E5))*1000,$B5*$D5^2*$E5^2/(6*$H$2*$J$2/100000000*$D$2)*(2*($D$2-K$4)/$E5+($D$2-K$4)/$D5-($D$2-K$4)^3/($E5^2*$D5))*1000))</f>
        <v>2.2567916037280074</v>
      </c>
      <c r="L7" s="63">
        <f>IF($D5*$E5=0,0,IF(L$4&lt;=$D5,$B5*$D5^2*$E5^2/(6*$H$2*$J$2/100000000*$D$2)*(2*L$4/$D5+L$4/$E5-L$4^3/($D5^2*$E5))*1000,$B5*$D5^2*$E5^2/(6*$H$2*$J$2/100000000*$D$2)*(2*($D$2-L$4)/$E5+($D$2-L$4)/$D5-($D$2-L$4)^3/($E5^2*$D5))*1000))</f>
        <v>1.2904526457487275</v>
      </c>
      <c r="M7" s="69">
        <v>0</v>
      </c>
      <c r="N7" s="54"/>
      <c r="O7" s="94" t="s">
        <v>35</v>
      </c>
      <c r="P7" s="54"/>
      <c r="Q7" s="54"/>
      <c r="R7" s="54"/>
      <c r="S7" s="54"/>
      <c r="T7" s="54"/>
      <c r="U7" s="54"/>
    </row>
    <row r="8" spans="1:21" ht="13.5">
      <c r="A8" s="60"/>
      <c r="B8" s="57"/>
      <c r="C8" s="47">
        <f>C5</f>
        <v>3.6</v>
      </c>
      <c r="D8" s="57"/>
      <c r="E8" s="47">
        <f>C8-D8</f>
        <v>3.6</v>
      </c>
      <c r="F8" s="40" t="s">
        <v>9</v>
      </c>
      <c r="G8" s="36">
        <f aca="true" t="shared" si="2" ref="G8:M8">IF(G$4&lt;=$D8,$B8*$E8*G$4/($D8+$E8),$B8*$D8*($D8+$E8-G$4)/($D8+$E8))</f>
        <v>0</v>
      </c>
      <c r="H8" s="36">
        <f t="shared" si="2"/>
        <v>0</v>
      </c>
      <c r="I8" s="36">
        <f t="shared" si="2"/>
        <v>0</v>
      </c>
      <c r="J8" s="36">
        <f t="shared" si="2"/>
        <v>0</v>
      </c>
      <c r="K8" s="36">
        <f t="shared" si="2"/>
        <v>0</v>
      </c>
      <c r="L8" s="36">
        <f t="shared" si="2"/>
        <v>0</v>
      </c>
      <c r="M8" s="37">
        <f t="shared" si="2"/>
        <v>0</v>
      </c>
      <c r="N8" s="54"/>
      <c r="O8" s="93"/>
      <c r="P8" s="54"/>
      <c r="Q8" s="54"/>
      <c r="R8" s="54"/>
      <c r="S8" s="54"/>
      <c r="T8" s="54"/>
      <c r="U8" s="54"/>
    </row>
    <row r="9" spans="1:21" ht="13.5">
      <c r="A9" s="62"/>
      <c r="B9" s="77"/>
      <c r="C9" s="49"/>
      <c r="D9" s="77"/>
      <c r="E9" s="49"/>
      <c r="F9" s="29" t="s">
        <v>10</v>
      </c>
      <c r="G9" s="27">
        <f aca="true" t="shared" si="3" ref="G9:L9">IF(G$4&lt;=$D8,$B8*$E8/$C8,-1*$B8*$D8/$C8)</f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  <c r="L9" s="27">
        <f t="shared" si="3"/>
        <v>0</v>
      </c>
      <c r="M9" s="44">
        <f>IF(M$4&lt;=$D8,-B8,-1*$B8*$D8/$C8)</f>
        <v>0</v>
      </c>
      <c r="N9" s="54"/>
      <c r="O9" s="55"/>
      <c r="P9" s="54"/>
      <c r="Q9" s="54"/>
      <c r="R9" s="54"/>
      <c r="S9" s="54"/>
      <c r="T9" s="54"/>
      <c r="U9" s="54"/>
    </row>
    <row r="10" spans="1:21" ht="13.5">
      <c r="A10" s="59"/>
      <c r="B10" s="43"/>
      <c r="C10" s="46"/>
      <c r="D10" s="43"/>
      <c r="E10" s="46"/>
      <c r="F10" s="68" t="s">
        <v>21</v>
      </c>
      <c r="G10" s="63">
        <v>0</v>
      </c>
      <c r="H10" s="63">
        <f>IF($D8*$E8=0,0,IF(H$4&lt;=$D8,$B8*$D8^2*$E8^2/(6*$H$2*$J$2/100000000*$D$2)*(2*H$4/$D8+H$4/$E8-H$4^3/($D8^2*$E8))*1000,$B8*$D8^2*$E8^2/(6*$H$2*$J$2/100000000*$D$2)*(2*($D$2-H$4)/$E8+($D$2-H$4)/$D8-($D$2-H$4)^3/($E8^2*$D8))*1000))</f>
        <v>0</v>
      </c>
      <c r="I10" s="63">
        <f>IF($D8*$E8=0,0,IF(I$4&lt;=$D8,$B8*$D8^2*$E8^2/(6*$H$2*$J$2/100000000*$D$2)*(2*I$4/$D8+I$4/$E8-I$4^3/($D8^2*$E8))*1000,$B8*$D8^2*$E8^2/(6*$H$2*$J$2/100000000*$D$2)*(2*($D$2-I$4)/$E8+($D$2-I$4)/$D8-($D$2-I$4)^3/($E8^2*$D8))*1000))</f>
        <v>0</v>
      </c>
      <c r="J10" s="63">
        <f>IF($D8*$E8=0,0,IF(J$4&lt;=$D8,$B8*$D8^2*$E8^2/(6*$H$2*$J$2/100000000*$D$2)*(2*J$4/$D8+J$4/$E8-J$4^3/($D8^2*$E8))*1000,$B8*$D8^2*$E8^2/(6*$H$2*$J$2/100000000*$D$2)*(2*($D$2-J$4)/$E8+($D$2-J$4)/$D8-($D$2-J$4)^3/($E8^2*$D8))*1000))</f>
        <v>0</v>
      </c>
      <c r="K10" s="63">
        <f>IF($D8*$E8=0,0,IF(K$4&lt;=$D8,$B8*$D8^2*$E8^2/(6*$H$2*$J$2/100000000*$D$2)*(2*K$4/$D8+K$4/$E8-K$4^3/($D8^2*$E8))*1000,$B8*$D8^2*$E8^2/(6*$H$2*$J$2/100000000*$D$2)*(2*($D$2-K$4)/$E8+($D$2-K$4)/$D8-($D$2-K$4)^3/($E8^2*$D8))*1000))</f>
        <v>0</v>
      </c>
      <c r="L10" s="63">
        <f>IF($D8*$E8=0,0,IF(L$4&lt;=$D8,$B8*$D8^2*$E8^2/(6*$H$2*$J$2/100000000*$D$2)*(2*L$4/$D8+L$4/$E8-L$4^3/($D8^2*$E8))*1000,$B8*$D8^2*$E8^2/(6*$H$2*$J$2/100000000*$D$2)*(2*($D$2-L$4)/$E8+($D$2-L$4)/$D8-($D$2-L$4)^3/($E8^2*$D8))*1000))</f>
        <v>0</v>
      </c>
      <c r="M10" s="69">
        <v>0</v>
      </c>
      <c r="N10" s="54"/>
      <c r="O10" s="55"/>
      <c r="P10" s="54"/>
      <c r="Q10" s="54"/>
      <c r="R10" s="54"/>
      <c r="S10" s="54"/>
      <c r="T10" s="54"/>
      <c r="U10" s="54"/>
    </row>
    <row r="11" spans="1:21" ht="13.5">
      <c r="A11" s="60"/>
      <c r="B11" s="57"/>
      <c r="C11" s="47">
        <f>C5</f>
        <v>3.6</v>
      </c>
      <c r="D11" s="57"/>
      <c r="E11" s="47">
        <f>C11-D11</f>
        <v>3.6</v>
      </c>
      <c r="F11" s="40" t="s">
        <v>9</v>
      </c>
      <c r="G11" s="36">
        <f aca="true" t="shared" si="4" ref="G11:M11">IF(G$4&lt;=$D11,$B11*$E11*G$4/($D11+$E11),$B11*$D11*($D11+$E11-G$4)/($D11+$E11))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36">
        <f t="shared" si="4"/>
        <v>0</v>
      </c>
      <c r="M11" s="37">
        <f t="shared" si="4"/>
        <v>0</v>
      </c>
      <c r="N11" s="54"/>
      <c r="O11" s="55"/>
      <c r="P11" s="54"/>
      <c r="Q11" s="54"/>
      <c r="R11" s="54"/>
      <c r="S11" s="54"/>
      <c r="T11" s="54"/>
      <c r="U11" s="54"/>
    </row>
    <row r="12" spans="1:21" ht="13.5">
      <c r="A12" s="62"/>
      <c r="B12" s="77"/>
      <c r="C12" s="49"/>
      <c r="D12" s="77"/>
      <c r="E12" s="49"/>
      <c r="F12" s="29" t="s">
        <v>10</v>
      </c>
      <c r="G12" s="27">
        <f aca="true" t="shared" si="5" ref="G12:L12">IF(G$4&lt;=$D11,$B11*$E11/$C11,-1*$B11*$D11/$C11)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44">
        <f>IF(M$4&lt;=$D11,-B11,-1*$B11*$D11/$C11)</f>
        <v>0</v>
      </c>
      <c r="N12" s="54"/>
      <c r="O12" s="55"/>
      <c r="P12" s="54"/>
      <c r="Q12" s="54"/>
      <c r="R12" s="54"/>
      <c r="S12" s="54"/>
      <c r="T12" s="54"/>
      <c r="U12" s="54"/>
    </row>
    <row r="13" spans="1:21" ht="13.5">
      <c r="A13" s="59"/>
      <c r="B13" s="43"/>
      <c r="C13" s="46"/>
      <c r="D13" s="43"/>
      <c r="E13" s="46"/>
      <c r="F13" s="68" t="s">
        <v>21</v>
      </c>
      <c r="G13" s="63">
        <v>0</v>
      </c>
      <c r="H13" s="63">
        <f>IF($D11*$E11=0,0,IF(H$4&lt;=$D11,$B11*$D11^2*$E11^2/(6*$H$2*$J$2/100000000*$D$2)*(2*H$4/$D11+H$4/$E11-H$4^3/($D11^2*$E11))*1000,$B11*$D11^2*$E11^2/(6*$H$2*$J$2/100000000*$D$2)*(2*($D$2-H$4)/$E11+($D$2-H$4)/$D11-($D$2-H$4)^3/($E11^2*$D11))*1000))</f>
        <v>0</v>
      </c>
      <c r="I13" s="63">
        <f>IF($D11*$E11=0,0,IF(I$4&lt;=$D11,$B11*$D11^2*$E11^2/(6*$H$2*$J$2/100000000*$D$2)*(2*I$4/$D11+I$4/$E11-I$4^3/($D11^2*$E11))*1000,$B11*$D11^2*$E11^2/(6*$H$2*$J$2/100000000*$D$2)*(2*($D$2-I$4)/$E11+($D$2-I$4)/$D11-($D$2-I$4)^3/($E11^2*$D11))*1000))</f>
        <v>0</v>
      </c>
      <c r="J13" s="63">
        <f>IF($D11*$E11=0,0,IF(J$4&lt;=$D11,$B11*$D11^2*$E11^2/(6*$H$2*$J$2/100000000*$D$2)*(2*J$4/$D11+J$4/$E11-J$4^3/($D11^2*$E11))*1000,$B11*$D11^2*$E11^2/(6*$H$2*$J$2/100000000*$D$2)*(2*($D$2-J$4)/$E11+($D$2-J$4)/$D11-($D$2-J$4)^3/($E11^2*$D11))*1000))</f>
        <v>0</v>
      </c>
      <c r="K13" s="63">
        <f>IF($D11*$E11=0,0,IF(K$4&lt;=$D11,$B11*$D11^2*$E11^2/(6*$H$2*$J$2/100000000*$D$2)*(2*K$4/$D11+K$4/$E11-K$4^3/($D11^2*$E11))*1000,$B11*$D11^2*$E11^2/(6*$H$2*$J$2/100000000*$D$2)*(2*($D$2-K$4)/$E11+($D$2-K$4)/$D11-($D$2-K$4)^3/($E11^2*$D11))*1000))</f>
        <v>0</v>
      </c>
      <c r="L13" s="63">
        <f>IF($D11*$E11=0,0,IF(L$4&lt;=$D11,$B11*$D11^2*$E11^2/(6*$H$2*$J$2/100000000*$D$2)*(2*L$4/$D11+L$4/$E11-L$4^3/($D11^2*$E11))*1000,$B11*$D11^2*$E11^2/(6*$H$2*$J$2/100000000*$D$2)*(2*($D$2-L$4)/$E11+($D$2-L$4)/$D11-($D$2-L$4)^3/($E11^2*$D11))*1000))</f>
        <v>0</v>
      </c>
      <c r="M13" s="69">
        <v>0</v>
      </c>
      <c r="N13" s="54"/>
      <c r="O13" s="55"/>
      <c r="P13" s="54"/>
      <c r="Q13" s="54"/>
      <c r="R13" s="54"/>
      <c r="S13" s="54"/>
      <c r="T13" s="54"/>
      <c r="U13" s="54"/>
    </row>
    <row r="14" spans="1:21" ht="13.5">
      <c r="A14" s="60"/>
      <c r="B14" s="57"/>
      <c r="C14" s="47">
        <f>C5</f>
        <v>3.6</v>
      </c>
      <c r="D14" s="57"/>
      <c r="E14" s="47">
        <f>C14-D14</f>
        <v>3.6</v>
      </c>
      <c r="F14" s="40" t="s">
        <v>9</v>
      </c>
      <c r="G14" s="36">
        <f aca="true" t="shared" si="6" ref="G14:M14">IF(G$4&lt;=$D14,$B14*$E14*G$4/($D14+$E14),$B14*$D14*($D14+$E14-G$4)/($D14+$E14))</f>
        <v>0</v>
      </c>
      <c r="H14" s="36">
        <f t="shared" si="6"/>
        <v>0</v>
      </c>
      <c r="I14" s="36">
        <f t="shared" si="6"/>
        <v>0</v>
      </c>
      <c r="J14" s="36">
        <f t="shared" si="6"/>
        <v>0</v>
      </c>
      <c r="K14" s="36">
        <f t="shared" si="6"/>
        <v>0</v>
      </c>
      <c r="L14" s="36">
        <f t="shared" si="6"/>
        <v>0</v>
      </c>
      <c r="M14" s="37">
        <f t="shared" si="6"/>
        <v>0</v>
      </c>
      <c r="N14" s="54"/>
      <c r="O14" s="55"/>
      <c r="P14" s="54"/>
      <c r="Q14" s="54"/>
      <c r="R14" s="54"/>
      <c r="S14" s="54"/>
      <c r="T14" s="54"/>
      <c r="U14" s="54"/>
    </row>
    <row r="15" spans="1:21" ht="13.5">
      <c r="A15" s="62"/>
      <c r="B15" s="77"/>
      <c r="C15" s="49"/>
      <c r="D15" s="77"/>
      <c r="E15" s="49"/>
      <c r="F15" s="29" t="s">
        <v>10</v>
      </c>
      <c r="G15" s="27">
        <f aca="true" t="shared" si="7" ref="G15:L15">IF(G$4&lt;=$D14,$B14*$E14/$C14,-1*$B14*$D14/$C14)</f>
        <v>0</v>
      </c>
      <c r="H15" s="27">
        <f t="shared" si="7"/>
        <v>0</v>
      </c>
      <c r="I15" s="27">
        <f t="shared" si="7"/>
        <v>0</v>
      </c>
      <c r="J15" s="27">
        <f t="shared" si="7"/>
        <v>0</v>
      </c>
      <c r="K15" s="27">
        <f t="shared" si="7"/>
        <v>0</v>
      </c>
      <c r="L15" s="27">
        <f t="shared" si="7"/>
        <v>0</v>
      </c>
      <c r="M15" s="44">
        <f>IF(M$4&lt;=$D14,-B14,-1*$B14*$D14/$C14)</f>
        <v>0</v>
      </c>
      <c r="N15" s="54"/>
      <c r="O15" s="55"/>
      <c r="P15" s="54"/>
      <c r="Q15" s="54"/>
      <c r="R15" s="54"/>
      <c r="S15" s="54"/>
      <c r="T15" s="54"/>
      <c r="U15" s="54"/>
    </row>
    <row r="16" spans="1:21" ht="13.5">
      <c r="A16" s="59"/>
      <c r="B16" s="43"/>
      <c r="C16" s="46"/>
      <c r="D16" s="43"/>
      <c r="E16" s="46"/>
      <c r="F16" s="68" t="s">
        <v>21</v>
      </c>
      <c r="G16" s="63">
        <v>0</v>
      </c>
      <c r="H16" s="63">
        <f>IF($D14*$E14=0,0,IF(H$4&lt;=$D14,$B14*$D14^2*$E14^2/(6*$H$2*$J$2/100000000*$D$2)*(2*H$4/$D14+H$4/$E14-H$4^3/($D14^2*$E14))*1000,$B14*$D14^2*$E14^2/(6*$H$2*$J$2/100000000*$D$2)*(2*($D$2-H$4)/$E14+($D$2-H$4)/$D14-($D$2-H$4)^3/($E14^2*$D14))*1000))</f>
        <v>0</v>
      </c>
      <c r="I16" s="63">
        <f>IF($D14*$E14=0,0,IF(I$4&lt;=$D14,$B14*$D14^2*$E14^2/(6*$H$2*$J$2/100000000*$D$2)*(2*I$4/$D14+I$4/$E14-I$4^3/($D14^2*$E14))*1000,$B14*$D14^2*$E14^2/(6*$H$2*$J$2/100000000*$D$2)*(2*($D$2-I$4)/$E14+($D$2-I$4)/$D14-($D$2-I$4)^3/($E14^2*$D14))*1000))</f>
        <v>0</v>
      </c>
      <c r="J16" s="63">
        <f>IF($D14*$E14=0,0,IF(J$4&lt;=$D14,$B14*$D14^2*$E14^2/(6*$H$2*$J$2/100000000*$D$2)*(2*J$4/$D14+J$4/$E14-J$4^3/($D14^2*$E14))*1000,$B14*$D14^2*$E14^2/(6*$H$2*$J$2/100000000*$D$2)*(2*($D$2-J$4)/$E14+($D$2-J$4)/$D14-($D$2-J$4)^3/($E14^2*$D14))*1000))</f>
        <v>0</v>
      </c>
      <c r="K16" s="63">
        <f>IF($D14*$E14=0,0,IF(K$4&lt;=$D14,$B14*$D14^2*$E14^2/(6*$H$2*$J$2/100000000*$D$2)*(2*K$4/$D14+K$4/$E14-K$4^3/($D14^2*$E14))*1000,$B14*$D14^2*$E14^2/(6*$H$2*$J$2/100000000*$D$2)*(2*($D$2-K$4)/$E14+($D$2-K$4)/$D14-($D$2-K$4)^3/($E14^2*$D14))*1000))</f>
        <v>0</v>
      </c>
      <c r="L16" s="63">
        <f>IF($D14*$E14=0,0,IF(L$4&lt;=$D14,$B14*$D14^2*$E14^2/(6*$H$2*$J$2/100000000*$D$2)*(2*L$4/$D14+L$4/$E14-L$4^3/($D14^2*$E14))*1000,$B14*$D14^2*$E14^2/(6*$H$2*$J$2/100000000*$D$2)*(2*($D$2-L$4)/$E14+($D$2-L$4)/$D14-($D$2-L$4)^3/($E14^2*$D14))*1000))</f>
        <v>0</v>
      </c>
      <c r="M16" s="69">
        <v>0</v>
      </c>
      <c r="N16" s="54"/>
      <c r="O16" s="55"/>
      <c r="P16" s="54"/>
      <c r="Q16" s="54"/>
      <c r="R16" s="54"/>
      <c r="S16" s="54"/>
      <c r="T16" s="54"/>
      <c r="U16" s="54"/>
    </row>
    <row r="17" spans="1:21" ht="13.5">
      <c r="A17" s="60"/>
      <c r="B17" s="57"/>
      <c r="C17" s="47">
        <f>C5</f>
        <v>3.6</v>
      </c>
      <c r="D17" s="57"/>
      <c r="E17" s="47">
        <f>C17-D17</f>
        <v>3.6</v>
      </c>
      <c r="F17" s="40" t="s">
        <v>9</v>
      </c>
      <c r="G17" s="36">
        <f aca="true" t="shared" si="8" ref="G17:M17">IF(G$4&lt;=$D17,$B17*$E17*G$4/($D17+$E17),$B17*$D17*($D17+$E17-G$4)/($D17+$E17))</f>
        <v>0</v>
      </c>
      <c r="H17" s="36">
        <f t="shared" si="8"/>
        <v>0</v>
      </c>
      <c r="I17" s="36">
        <f t="shared" si="8"/>
        <v>0</v>
      </c>
      <c r="J17" s="36">
        <f t="shared" si="8"/>
        <v>0</v>
      </c>
      <c r="K17" s="36">
        <f t="shared" si="8"/>
        <v>0</v>
      </c>
      <c r="L17" s="36">
        <f t="shared" si="8"/>
        <v>0</v>
      </c>
      <c r="M17" s="37">
        <f t="shared" si="8"/>
        <v>0</v>
      </c>
      <c r="N17" s="54"/>
      <c r="O17" s="55"/>
      <c r="P17" s="54"/>
      <c r="Q17" s="54"/>
      <c r="R17" s="54"/>
      <c r="S17" s="54"/>
      <c r="T17" s="54"/>
      <c r="U17" s="54"/>
    </row>
    <row r="18" spans="1:21" ht="13.5">
      <c r="A18" s="62"/>
      <c r="B18" s="78"/>
      <c r="C18" s="70"/>
      <c r="D18" s="78"/>
      <c r="E18" s="70"/>
      <c r="F18" s="65" t="s">
        <v>10</v>
      </c>
      <c r="G18" s="10">
        <f aca="true" t="shared" si="9" ref="G18:L18">IF(G$4&lt;=$D17,$B17*$E17/$C17,-1*$B17*$D17/$C17)</f>
        <v>0</v>
      </c>
      <c r="H18" s="10">
        <f t="shared" si="9"/>
        <v>0</v>
      </c>
      <c r="I18" s="10">
        <f t="shared" si="9"/>
        <v>0</v>
      </c>
      <c r="J18" s="10">
        <f t="shared" si="9"/>
        <v>0</v>
      </c>
      <c r="K18" s="10">
        <f t="shared" si="9"/>
        <v>0</v>
      </c>
      <c r="L18" s="10">
        <f t="shared" si="9"/>
        <v>0</v>
      </c>
      <c r="M18" s="45">
        <f>IF(M$4&lt;=$D17,-B17,-1*$B17*$D17/$C17)</f>
        <v>0</v>
      </c>
      <c r="N18" s="54"/>
      <c r="O18" s="55"/>
      <c r="P18" s="54"/>
      <c r="Q18" s="54"/>
      <c r="R18" s="54"/>
      <c r="S18" s="54"/>
      <c r="T18" s="54"/>
      <c r="U18" s="54"/>
    </row>
    <row r="19" spans="1:21" ht="14.25" thickBot="1">
      <c r="A19" s="61"/>
      <c r="B19" s="79"/>
      <c r="C19" s="48"/>
      <c r="D19" s="79"/>
      <c r="E19" s="48"/>
      <c r="F19" s="97" t="s">
        <v>21</v>
      </c>
      <c r="G19" s="98">
        <v>0</v>
      </c>
      <c r="H19" s="98">
        <f>IF($D17*$E17=0,0,IF(H$4&lt;=$D17,$B17*$D17^2*$E17^2/(6*$H$2*$J$2/100000000*$D$2)*(2*H$4/$D17+H$4/$E17-H$4^3/($D17^2*$E17))*1000,$B17*$D17^2*$E17^2/(6*$H$2*$J$2/100000000*$D$2)*(2*($D$2-H$4)/$E17+($D$2-H$4)/$D17-($D$2-H$4)^3/($E17^2*$D17))*1000))</f>
        <v>0</v>
      </c>
      <c r="I19" s="98">
        <f>IF($D17*$E17=0,0,IF(I$4&lt;=$D17,$B17*$D17^2*$E17^2/(6*$H$2*$J$2/100000000*$D$2)*(2*I$4/$D17+I$4/$E17-I$4^3/($D17^2*$E17))*1000,$B17*$D17^2*$E17^2/(6*$H$2*$J$2/100000000*$D$2)*(2*($D$2-I$4)/$E17+($D$2-I$4)/$D17-($D$2-I$4)^3/($E17^2*$D17))*1000))</f>
        <v>0</v>
      </c>
      <c r="J19" s="98">
        <f>IF($D17*$E17=0,0,IF(J$4&lt;=$D17,$B17*$D17^2*$E17^2/(6*$H$2*$J$2/100000000*$D$2)*(2*J$4/$D17+J$4/$E17-J$4^3/($D17^2*$E17))*1000,$B17*$D17^2*$E17^2/(6*$H$2*$J$2/100000000*$D$2)*(2*($D$2-J$4)/$E17+($D$2-J$4)/$D17-($D$2-J$4)^3/($E17^2*$D17))*1000))</f>
        <v>0</v>
      </c>
      <c r="K19" s="98">
        <f>IF($D17*$E17=0,0,IF(K$4&lt;=$D17,$B17*$D17^2*$E17^2/(6*$H$2*$J$2/100000000*$D$2)*(2*K$4/$D17+K$4/$E17-K$4^3/($D17^2*$E17))*1000,$B17*$D17^2*$E17^2/(6*$H$2*$J$2/100000000*$D$2)*(2*($D$2-K$4)/$E17+($D$2-K$4)/$D17-($D$2-K$4)^3/($E17^2*$D17))*1000))</f>
        <v>0</v>
      </c>
      <c r="L19" s="98">
        <f>IF($D17*$E17=0,0,IF(L$4&lt;=$D17,$B17*$D17^2*$E17^2/(6*$H$2*$J$2/100000000*$D$2)*(2*L$4/$D17+L$4/$E17-L$4^3/($D17^2*$E17))*1000,$B17*$D17^2*$E17^2/(6*$H$2*$J$2/100000000*$D$2)*(2*($D$2-L$4)/$E17+($D$2-L$4)/$D17-($D$2-L$4)^3/($E17^2*$D17))*1000))</f>
        <v>0</v>
      </c>
      <c r="M19" s="99">
        <v>0</v>
      </c>
      <c r="N19" s="54"/>
      <c r="O19" s="55"/>
      <c r="P19" s="54"/>
      <c r="Q19" s="54"/>
      <c r="R19" s="54"/>
      <c r="S19" s="54"/>
      <c r="T19" s="54"/>
      <c r="U19" s="54"/>
    </row>
    <row r="20" spans="1:21" ht="14.25" thickBot="1">
      <c r="A20" s="31"/>
      <c r="B20" s="85"/>
      <c r="C20" s="89"/>
      <c r="D20" s="87"/>
      <c r="E20" s="83" t="s">
        <v>30</v>
      </c>
      <c r="F20" s="30" t="s">
        <v>9</v>
      </c>
      <c r="G20" s="14">
        <v>0</v>
      </c>
      <c r="H20" s="14">
        <f aca="true" t="shared" si="10" ref="H20:M21">H5+H8+H11+H14+H17</f>
        <v>2.6666666666666665</v>
      </c>
      <c r="I20" s="14">
        <f t="shared" si="10"/>
        <v>5.333333333333333</v>
      </c>
      <c r="J20" s="14">
        <f t="shared" si="10"/>
        <v>8</v>
      </c>
      <c r="K20" s="14">
        <f t="shared" si="10"/>
        <v>6.666666666666668</v>
      </c>
      <c r="L20" s="14">
        <f t="shared" si="10"/>
        <v>3.333333333333334</v>
      </c>
      <c r="M20" s="15">
        <f t="shared" si="10"/>
        <v>0</v>
      </c>
      <c r="N20" s="55"/>
      <c r="O20" s="55"/>
      <c r="P20" s="54"/>
      <c r="Q20" s="54"/>
      <c r="R20" s="54"/>
      <c r="S20" s="54"/>
      <c r="T20" s="54"/>
      <c r="U20" s="54"/>
    </row>
    <row r="21" spans="1:21" ht="14.25" thickBot="1">
      <c r="A21" s="71"/>
      <c r="B21" s="86"/>
      <c r="C21" s="90"/>
      <c r="D21" s="88"/>
      <c r="E21" s="84" t="s">
        <v>13</v>
      </c>
      <c r="F21" s="33" t="s">
        <v>11</v>
      </c>
      <c r="G21" s="14">
        <f>G6+G9+G12+G15+G18</f>
        <v>4.444444444444445</v>
      </c>
      <c r="H21" s="34">
        <f t="shared" si="10"/>
        <v>4.444444444444445</v>
      </c>
      <c r="I21" s="34">
        <f t="shared" si="10"/>
        <v>4.444444444444445</v>
      </c>
      <c r="J21" s="34">
        <f t="shared" si="10"/>
        <v>4.444444444444445</v>
      </c>
      <c r="K21" s="34">
        <f t="shared" si="10"/>
        <v>-5.555555555555555</v>
      </c>
      <c r="L21" s="34">
        <f t="shared" si="10"/>
        <v>-5.555555555555555</v>
      </c>
      <c r="M21" s="35">
        <f t="shared" si="10"/>
        <v>-5.555555555555555</v>
      </c>
      <c r="N21" s="55"/>
      <c r="O21" s="55"/>
      <c r="P21" s="54"/>
      <c r="Q21" s="54"/>
      <c r="R21" s="54"/>
      <c r="S21" s="54"/>
      <c r="T21" s="54"/>
      <c r="U21" s="54"/>
    </row>
    <row r="22" spans="1:21" ht="14.25" thickBot="1">
      <c r="A22" s="71"/>
      <c r="B22" s="86"/>
      <c r="C22" s="91"/>
      <c r="D22" s="88"/>
      <c r="E22" s="84" t="s">
        <v>29</v>
      </c>
      <c r="F22" s="33" t="s">
        <v>24</v>
      </c>
      <c r="G22" s="14">
        <f>G7+G10+G13+G16+G19</f>
        <v>0</v>
      </c>
      <c r="H22" s="34">
        <f>H7+H10+H13+H16+H19</f>
        <v>1.2052227500760206</v>
      </c>
      <c r="I22" s="34">
        <f>I7+I10+I13+I16+I19</f>
        <v>2.151154549936483</v>
      </c>
      <c r="J22" s="34">
        <f>J7+J10+J13+J16+J19</f>
        <v>2.578504449365829</v>
      </c>
      <c r="K22" s="34">
        <f>K7+K10+K13+K16+K19</f>
        <v>2.2567916037280074</v>
      </c>
      <c r="L22" s="34">
        <f>L7+L10+L13+L16+L19</f>
        <v>1.2904526457487275</v>
      </c>
      <c r="M22" s="35">
        <v>0</v>
      </c>
      <c r="N22" s="55"/>
      <c r="O22" s="55"/>
      <c r="P22" s="54"/>
      <c r="Q22" s="54"/>
      <c r="R22" s="54"/>
      <c r="S22" s="54"/>
      <c r="T22" s="54"/>
      <c r="U22" s="54"/>
    </row>
    <row r="23" spans="1:21" ht="13.5">
      <c r="A23" s="3" t="s">
        <v>8</v>
      </c>
      <c r="B23" s="50" t="s">
        <v>19</v>
      </c>
      <c r="C23" s="50" t="s">
        <v>14</v>
      </c>
      <c r="D23" s="8"/>
      <c r="E23" s="8"/>
      <c r="F23" s="8"/>
      <c r="G23" s="32"/>
      <c r="H23" s="32"/>
      <c r="I23" s="32"/>
      <c r="J23" s="32"/>
      <c r="K23" s="32"/>
      <c r="L23" s="32"/>
      <c r="M23" s="51"/>
      <c r="N23" s="55"/>
      <c r="O23" s="55"/>
      <c r="P23" s="54"/>
      <c r="Q23" s="54"/>
      <c r="R23" s="54"/>
      <c r="S23" s="54"/>
      <c r="T23" s="54"/>
      <c r="U23" s="54"/>
    </row>
    <row r="24" spans="1:21" ht="14.25" thickBot="1">
      <c r="A24" s="19" t="s">
        <v>4</v>
      </c>
      <c r="B24" s="16" t="s">
        <v>6</v>
      </c>
      <c r="C24" s="17" t="s">
        <v>5</v>
      </c>
      <c r="D24" s="18"/>
      <c r="E24" s="18"/>
      <c r="F24" s="18"/>
      <c r="G24" s="52">
        <f aca="true" t="shared" si="11" ref="G24:M24">G4</f>
        <v>0</v>
      </c>
      <c r="H24" s="52">
        <f t="shared" si="11"/>
        <v>0.6</v>
      </c>
      <c r="I24" s="52">
        <f t="shared" si="11"/>
        <v>1.2</v>
      </c>
      <c r="J24" s="52">
        <f t="shared" si="11"/>
        <v>1.8</v>
      </c>
      <c r="K24" s="52">
        <f t="shared" si="11"/>
        <v>2.4</v>
      </c>
      <c r="L24" s="52">
        <f t="shared" si="11"/>
        <v>3</v>
      </c>
      <c r="M24" s="53">
        <f t="shared" si="11"/>
        <v>3.6</v>
      </c>
      <c r="N24" s="55"/>
      <c r="O24" s="55"/>
      <c r="P24" s="54"/>
      <c r="Q24" s="54"/>
      <c r="R24" s="54"/>
      <c r="S24" s="54"/>
      <c r="T24" s="54"/>
      <c r="U24" s="54"/>
    </row>
    <row r="25" spans="1:21" ht="13.5">
      <c r="A25" s="62" t="s">
        <v>174</v>
      </c>
      <c r="B25" s="63">
        <f>20.9*9.8/1000</f>
        <v>0.20482</v>
      </c>
      <c r="C25" s="49">
        <f>D2</f>
        <v>3.6</v>
      </c>
      <c r="D25" s="10"/>
      <c r="E25" s="10"/>
      <c r="F25" s="28" t="s">
        <v>9</v>
      </c>
      <c r="G25" s="10">
        <f>$B25*G$4*($C25-G$4)/2</f>
        <v>0</v>
      </c>
      <c r="H25" s="10">
        <f aca="true" t="shared" si="12" ref="H25:M27">$B25*H$4*($C25-H$4)/2</f>
        <v>0.184338</v>
      </c>
      <c r="I25" s="10">
        <f t="shared" si="12"/>
        <v>0.29494080000000006</v>
      </c>
      <c r="J25" s="10">
        <f t="shared" si="12"/>
        <v>0.3318084</v>
      </c>
      <c r="K25" s="10">
        <f t="shared" si="12"/>
        <v>0.29494080000000006</v>
      </c>
      <c r="L25" s="10">
        <f t="shared" si="12"/>
        <v>0.18433800000000003</v>
      </c>
      <c r="M25" s="4">
        <f t="shared" si="12"/>
        <v>0</v>
      </c>
      <c r="N25" s="55"/>
      <c r="O25" s="55"/>
      <c r="P25" s="54"/>
      <c r="Q25" s="54"/>
      <c r="R25" s="54"/>
      <c r="S25" s="54"/>
      <c r="T25" s="54"/>
      <c r="U25" s="54"/>
    </row>
    <row r="26" spans="1:21" ht="13.5">
      <c r="A26" s="62"/>
      <c r="B26" s="77"/>
      <c r="C26" s="49"/>
      <c r="D26" s="10"/>
      <c r="E26" s="10"/>
      <c r="F26" s="29" t="s">
        <v>10</v>
      </c>
      <c r="G26" s="10">
        <f>$B25*$C25/2-$B25*G$24</f>
        <v>0.368676</v>
      </c>
      <c r="H26" s="10">
        <f aca="true" t="shared" si="13" ref="H26:M26">$B25*$C25/2-$B25*H$24</f>
        <v>0.245784</v>
      </c>
      <c r="I26" s="10">
        <f t="shared" si="13"/>
        <v>0.122892</v>
      </c>
      <c r="J26" s="10">
        <f t="shared" si="13"/>
        <v>0</v>
      </c>
      <c r="K26" s="10">
        <f t="shared" si="13"/>
        <v>-0.122892</v>
      </c>
      <c r="L26" s="10">
        <f t="shared" si="13"/>
        <v>-0.245784</v>
      </c>
      <c r="M26" s="45">
        <f t="shared" si="13"/>
        <v>-0.368676</v>
      </c>
      <c r="N26" s="55"/>
      <c r="O26" s="55"/>
      <c r="P26" s="54"/>
      <c r="Q26" s="54"/>
      <c r="R26" s="54"/>
      <c r="S26" s="54"/>
      <c r="T26" s="54"/>
      <c r="U26" s="54"/>
    </row>
    <row r="27" spans="1:21" ht="13.5">
      <c r="A27" s="60"/>
      <c r="B27" s="57"/>
      <c r="C27" s="47">
        <f>D2</f>
        <v>3.6</v>
      </c>
      <c r="D27" s="41"/>
      <c r="E27" s="41"/>
      <c r="F27" s="40" t="s">
        <v>9</v>
      </c>
      <c r="G27" s="41">
        <f>$B27*G$4*($C27-G$4)/2</f>
        <v>0</v>
      </c>
      <c r="H27" s="41">
        <f t="shared" si="12"/>
        <v>0</v>
      </c>
      <c r="I27" s="41">
        <f t="shared" si="12"/>
        <v>0</v>
      </c>
      <c r="J27" s="41">
        <f t="shared" si="12"/>
        <v>0</v>
      </c>
      <c r="K27" s="41">
        <f t="shared" si="12"/>
        <v>0</v>
      </c>
      <c r="L27" s="41">
        <f t="shared" si="12"/>
        <v>0</v>
      </c>
      <c r="M27" s="42">
        <f t="shared" si="12"/>
        <v>0</v>
      </c>
      <c r="N27" s="55"/>
      <c r="O27" s="55"/>
      <c r="P27" s="54"/>
      <c r="Q27" s="54"/>
      <c r="R27" s="54"/>
      <c r="S27" s="54"/>
      <c r="T27" s="54"/>
      <c r="U27" s="54"/>
    </row>
    <row r="28" spans="1:21" ht="14.25" thickBot="1">
      <c r="A28" s="62"/>
      <c r="B28" s="77"/>
      <c r="C28" s="49"/>
      <c r="D28" s="10"/>
      <c r="E28" s="10"/>
      <c r="F28" s="29" t="s">
        <v>10</v>
      </c>
      <c r="G28" s="10">
        <f aca="true" t="shared" si="14" ref="G28:M28">$B27*$C27/2-$B27*G$24</f>
        <v>0</v>
      </c>
      <c r="H28" s="10">
        <f t="shared" si="14"/>
        <v>0</v>
      </c>
      <c r="I28" s="10">
        <f t="shared" si="14"/>
        <v>0</v>
      </c>
      <c r="J28" s="10">
        <f t="shared" si="14"/>
        <v>0</v>
      </c>
      <c r="K28" s="10">
        <f t="shared" si="14"/>
        <v>0</v>
      </c>
      <c r="L28" s="10">
        <f t="shared" si="14"/>
        <v>0</v>
      </c>
      <c r="M28" s="4">
        <f t="shared" si="14"/>
        <v>0</v>
      </c>
      <c r="N28" s="55"/>
      <c r="O28" s="93"/>
      <c r="P28" s="54"/>
      <c r="Q28" s="54"/>
      <c r="R28" s="54"/>
      <c r="S28" s="54"/>
      <c r="T28" s="54"/>
      <c r="U28" s="54"/>
    </row>
    <row r="29" spans="1:21" ht="14.25" thickBot="1">
      <c r="A29" s="75" t="s">
        <v>25</v>
      </c>
      <c r="B29" s="76">
        <f>SUM(B25:B28)</f>
        <v>0.20482</v>
      </c>
      <c r="C29" s="72"/>
      <c r="D29" s="72"/>
      <c r="E29" s="83" t="s">
        <v>30</v>
      </c>
      <c r="F29" s="30" t="s">
        <v>9</v>
      </c>
      <c r="G29" s="20">
        <f aca="true" t="shared" si="15" ref="G29:M29">G25+G27</f>
        <v>0</v>
      </c>
      <c r="H29" s="20">
        <f t="shared" si="15"/>
        <v>0.184338</v>
      </c>
      <c r="I29" s="20">
        <f t="shared" si="15"/>
        <v>0.29494080000000006</v>
      </c>
      <c r="J29" s="20">
        <f t="shared" si="15"/>
        <v>0.3318084</v>
      </c>
      <c r="K29" s="20">
        <f t="shared" si="15"/>
        <v>0.29494080000000006</v>
      </c>
      <c r="L29" s="20">
        <f t="shared" si="15"/>
        <v>0.18433800000000003</v>
      </c>
      <c r="M29" s="21">
        <f t="shared" si="15"/>
        <v>0</v>
      </c>
      <c r="N29" s="55"/>
      <c r="O29" s="93"/>
      <c r="P29" s="54"/>
      <c r="Q29" s="54"/>
      <c r="R29" s="54"/>
      <c r="S29" s="54"/>
      <c r="T29" s="54"/>
      <c r="U29" s="54"/>
    </row>
    <row r="30" spans="1:21" ht="14.25" thickBot="1">
      <c r="A30" s="73"/>
      <c r="B30" s="74"/>
      <c r="C30" s="74"/>
      <c r="D30" s="74"/>
      <c r="E30" s="84" t="s">
        <v>13</v>
      </c>
      <c r="F30" s="33" t="s">
        <v>11</v>
      </c>
      <c r="G30" s="20">
        <f>G26+G28</f>
        <v>0.368676</v>
      </c>
      <c r="H30" s="11">
        <f aca="true" t="shared" si="16" ref="H30:M30">H26+H28</f>
        <v>0.245784</v>
      </c>
      <c r="I30" s="11">
        <f t="shared" si="16"/>
        <v>0.122892</v>
      </c>
      <c r="J30" s="11">
        <f t="shared" si="16"/>
        <v>0</v>
      </c>
      <c r="K30" s="11">
        <f t="shared" si="16"/>
        <v>-0.122892</v>
      </c>
      <c r="L30" s="11">
        <f t="shared" si="16"/>
        <v>-0.245784</v>
      </c>
      <c r="M30" s="6">
        <f t="shared" si="16"/>
        <v>-0.368676</v>
      </c>
      <c r="O30" s="93"/>
      <c r="P30" s="54"/>
      <c r="Q30" s="54"/>
      <c r="R30" s="54"/>
      <c r="S30" s="54"/>
      <c r="T30" s="54"/>
      <c r="U30" s="54"/>
    </row>
    <row r="31" spans="1:21" ht="14.25" thickBot="1">
      <c r="A31" s="38"/>
      <c r="B31" s="5"/>
      <c r="C31" s="5"/>
      <c r="D31" s="5"/>
      <c r="E31" s="84" t="s">
        <v>29</v>
      </c>
      <c r="F31" s="33" t="s">
        <v>24</v>
      </c>
      <c r="G31" s="11">
        <v>0</v>
      </c>
      <c r="H31" s="11">
        <f>$B$29*$D$2^4/(24*$H$2*$J$2/100000000)*(H$24/$D$2-2*H$24^3/$D$2^3+H$24^4/$D$2^4)*1000</f>
        <v>0.06124013070044559</v>
      </c>
      <c r="I31" s="11">
        <f>$B$29*$D$2^4/(24*$H$2*$J$2/100000000)*(I$24/$D$2-2*I$24^3/$D$2^3+I$24^4/$D$2^4)*1000</f>
        <v>0.10515378539783829</v>
      </c>
      <c r="J31" s="11">
        <f>$B$29*$D$2^4/(24*$H$2*$J$2/100000000)*(J$24/$D$2-2*J$24^3/$D$2^3+J$24^4/$D$2^4)*1000</f>
        <v>0.12098659967649009</v>
      </c>
      <c r="K31" s="11">
        <f>$B$29*$D$2^4/(24*$H$2*$J$2/100000000)*(K$24/$D$2-2*K$24^3/$D$2^3+K$24^4/$D$2^4)*1000</f>
        <v>0.10515378539783829</v>
      </c>
      <c r="L31" s="11">
        <f>$B$29*$D$2^4/(24*$H$2*$J$2/100000000)*(L$24/$D$2-2*L$24^3/$D$2^3+L$24^4/$D$2^4)*1000</f>
        <v>0.061240130700445615</v>
      </c>
      <c r="M31" s="6">
        <v>0</v>
      </c>
      <c r="O31" s="94"/>
      <c r="P31" s="54"/>
      <c r="Q31" s="54"/>
      <c r="R31" s="54"/>
      <c r="S31" s="54"/>
      <c r="T31" s="54"/>
      <c r="U31" s="54"/>
    </row>
    <row r="32" spans="1:21" ht="14.25" thickBot="1">
      <c r="A32" s="22"/>
      <c r="B32" s="23" t="s">
        <v>17</v>
      </c>
      <c r="C32" s="23"/>
      <c r="D32" s="23"/>
      <c r="E32" s="24"/>
      <c r="F32" s="39" t="s">
        <v>9</v>
      </c>
      <c r="G32" s="25">
        <f aca="true" t="shared" si="17" ref="G32:M34">G29+G20</f>
        <v>0</v>
      </c>
      <c r="H32" s="25">
        <f t="shared" si="17"/>
        <v>2.8510046666666664</v>
      </c>
      <c r="I32" s="25">
        <f t="shared" si="17"/>
        <v>5.628274133333333</v>
      </c>
      <c r="J32" s="25">
        <f t="shared" si="17"/>
        <v>8.3318084</v>
      </c>
      <c r="K32" s="25">
        <f t="shared" si="17"/>
        <v>6.961607466666668</v>
      </c>
      <c r="L32" s="25">
        <f t="shared" si="17"/>
        <v>3.517671333333334</v>
      </c>
      <c r="M32" s="26">
        <f t="shared" si="17"/>
        <v>0</v>
      </c>
      <c r="O32" s="93"/>
      <c r="P32" s="54"/>
      <c r="Q32" s="54"/>
      <c r="R32" s="54"/>
      <c r="S32" s="54"/>
      <c r="T32" s="54"/>
      <c r="U32" s="54"/>
    </row>
    <row r="33" spans="1:21" ht="14.25" thickBot="1">
      <c r="A33" s="22"/>
      <c r="B33" s="23" t="s">
        <v>18</v>
      </c>
      <c r="C33" s="23"/>
      <c r="D33" s="23"/>
      <c r="E33" s="24"/>
      <c r="F33" s="39" t="s">
        <v>10</v>
      </c>
      <c r="G33" s="25">
        <f t="shared" si="17"/>
        <v>4.813120444444444</v>
      </c>
      <c r="H33" s="25">
        <f t="shared" si="17"/>
        <v>4.690228444444445</v>
      </c>
      <c r="I33" s="25">
        <f t="shared" si="17"/>
        <v>4.567336444444445</v>
      </c>
      <c r="J33" s="25">
        <f t="shared" si="17"/>
        <v>4.444444444444445</v>
      </c>
      <c r="K33" s="25">
        <f t="shared" si="17"/>
        <v>-5.678447555555556</v>
      </c>
      <c r="L33" s="25">
        <f t="shared" si="17"/>
        <v>-5.801339555555556</v>
      </c>
      <c r="M33" s="26">
        <f t="shared" si="17"/>
        <v>-5.924231555555555</v>
      </c>
      <c r="O33" s="55"/>
      <c r="P33" s="54"/>
      <c r="Q33" s="54"/>
      <c r="R33" s="54"/>
      <c r="S33" s="54"/>
      <c r="T33" s="54"/>
      <c r="U33" s="54"/>
    </row>
    <row r="34" spans="1:21" ht="14.25" thickBot="1">
      <c r="A34" s="22"/>
      <c r="B34" s="23" t="s">
        <v>38</v>
      </c>
      <c r="C34" s="23"/>
      <c r="D34" s="23"/>
      <c r="E34" s="24"/>
      <c r="F34" s="39" t="s">
        <v>24</v>
      </c>
      <c r="G34" s="25">
        <f t="shared" si="17"/>
        <v>0</v>
      </c>
      <c r="H34" s="25">
        <f t="shared" si="17"/>
        <v>1.2664628807764662</v>
      </c>
      <c r="I34" s="25">
        <f t="shared" si="17"/>
        <v>2.2563083353343214</v>
      </c>
      <c r="J34" s="25">
        <f t="shared" si="17"/>
        <v>2.699491049042319</v>
      </c>
      <c r="K34" s="25">
        <f t="shared" si="17"/>
        <v>2.3619453891258457</v>
      </c>
      <c r="L34" s="25">
        <f t="shared" si="17"/>
        <v>1.351692776449173</v>
      </c>
      <c r="M34" s="26">
        <f t="shared" si="17"/>
        <v>0</v>
      </c>
      <c r="P34" s="54"/>
      <c r="Q34" s="54"/>
      <c r="R34" s="54"/>
      <c r="S34" s="54"/>
      <c r="T34" s="54"/>
      <c r="U34" s="54"/>
    </row>
    <row r="35" spans="1:21" ht="14.25" thickBot="1">
      <c r="A35" s="2"/>
      <c r="B35" s="2"/>
      <c r="C35" s="2"/>
      <c r="D35" s="2"/>
      <c r="E35" s="2"/>
      <c r="F35" s="2" t="s">
        <v>12</v>
      </c>
      <c r="G35" s="2"/>
      <c r="H35" s="2"/>
      <c r="K35" s="2"/>
      <c r="L35" s="82" t="s">
        <v>39</v>
      </c>
      <c r="M35" s="96">
        <f>1/(MAX(G34:M34)/(D2*1000))</f>
        <v>1333.5847145250393</v>
      </c>
      <c r="N35" s="55"/>
      <c r="O35" s="55"/>
      <c r="P35" s="54"/>
      <c r="Q35" s="54"/>
      <c r="R35" s="54"/>
      <c r="S35" s="54"/>
      <c r="T35" s="54"/>
      <c r="U35" s="54"/>
    </row>
    <row r="36" spans="1:21" ht="1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5" t="s">
        <v>15</v>
      </c>
      <c r="N36" s="55"/>
      <c r="O36" s="55"/>
      <c r="P36" s="54"/>
      <c r="Q36" s="54"/>
      <c r="R36" s="54"/>
      <c r="S36" s="54"/>
      <c r="T36" s="54"/>
      <c r="U36" s="54"/>
    </row>
    <row r="37" spans="1:21" ht="1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 t="s">
        <v>172</v>
      </c>
      <c r="M37" s="64">
        <f>MAX(G32:M32)</f>
        <v>8.3318084</v>
      </c>
      <c r="N37" s="55"/>
      <c r="O37" s="55"/>
      <c r="P37" s="54"/>
      <c r="Q37" s="54"/>
      <c r="R37" s="54"/>
      <c r="S37" s="54"/>
      <c r="T37" s="54"/>
      <c r="U37" s="54"/>
    </row>
    <row r="38" spans="1:21" ht="1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 t="s">
        <v>171</v>
      </c>
      <c r="M38" s="64">
        <f>MAX(ABS(G33),ABS(M33))</f>
        <v>5.924231555555555</v>
      </c>
      <c r="N38" s="55"/>
      <c r="O38" s="55"/>
      <c r="P38" s="54"/>
      <c r="Q38" s="54"/>
      <c r="R38" s="54"/>
      <c r="S38" s="54"/>
      <c r="T38" s="54"/>
      <c r="U38" s="54"/>
    </row>
    <row r="39" spans="1:2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5"/>
      <c r="O39" s="55"/>
      <c r="P39" s="54"/>
      <c r="Q39" s="54"/>
      <c r="R39" s="54"/>
      <c r="S39" s="54"/>
      <c r="T39" s="54"/>
      <c r="U39" s="54"/>
    </row>
    <row r="40" spans="1:2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5"/>
      <c r="O40" s="55"/>
      <c r="P40" s="54"/>
      <c r="Q40" s="54"/>
      <c r="R40" s="54"/>
      <c r="S40" s="54"/>
      <c r="T40" s="54"/>
      <c r="U40" s="54"/>
    </row>
    <row r="41" spans="1:2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5"/>
      <c r="O41" s="55"/>
      <c r="P41" s="54"/>
      <c r="Q41" s="54"/>
      <c r="R41" s="54"/>
      <c r="S41" s="54"/>
      <c r="T41" s="54"/>
      <c r="U41" s="54"/>
    </row>
    <row r="42" spans="1:2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5"/>
      <c r="O42" s="55"/>
      <c r="P42" s="54"/>
      <c r="Q42" s="54"/>
      <c r="R42" s="54"/>
      <c r="S42" s="54"/>
      <c r="T42" s="54"/>
      <c r="U42" s="54"/>
    </row>
    <row r="43" spans="1:2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5"/>
      <c r="O43" s="55"/>
      <c r="P43" s="54"/>
      <c r="Q43" s="54"/>
      <c r="R43" s="54"/>
      <c r="S43" s="54"/>
      <c r="T43" s="54"/>
      <c r="U43" s="54"/>
    </row>
    <row r="44" spans="1:2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5"/>
      <c r="O44" s="55"/>
      <c r="P44" s="54"/>
      <c r="Q44" s="54"/>
      <c r="R44" s="54"/>
      <c r="S44" s="54"/>
      <c r="T44" s="54"/>
      <c r="U44" s="54"/>
    </row>
    <row r="45" spans="1:2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5"/>
      <c r="O45" s="55"/>
      <c r="P45" s="54"/>
      <c r="Q45" s="54"/>
      <c r="R45" s="54"/>
      <c r="S45" s="54"/>
      <c r="T45" s="54"/>
      <c r="U45" s="54"/>
    </row>
    <row r="46" spans="1:2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5"/>
      <c r="O46" s="55"/>
      <c r="P46" s="54"/>
      <c r="Q46" s="54"/>
      <c r="R46" s="54"/>
      <c r="S46" s="54"/>
      <c r="T46" s="54"/>
      <c r="U46" s="54"/>
    </row>
    <row r="47" spans="1:2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5"/>
      <c r="O47" s="55"/>
      <c r="P47" s="54"/>
      <c r="Q47" s="54"/>
      <c r="R47" s="54"/>
      <c r="S47" s="54"/>
      <c r="T47" s="54"/>
      <c r="U47" s="54"/>
    </row>
    <row r="48" spans="1:2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55"/>
      <c r="O48" s="55"/>
      <c r="P48" s="54"/>
      <c r="Q48" s="54"/>
      <c r="R48" s="54"/>
      <c r="S48" s="54"/>
      <c r="T48" s="54"/>
      <c r="U48" s="54"/>
    </row>
    <row r="49" spans="1:2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5"/>
      <c r="O49" s="55"/>
      <c r="P49" s="54"/>
      <c r="Q49" s="54"/>
      <c r="R49" s="54"/>
      <c r="S49" s="54"/>
      <c r="T49" s="54"/>
      <c r="U49" s="54"/>
    </row>
    <row r="50" spans="1:2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55"/>
      <c r="O50" s="55"/>
      <c r="P50" s="54"/>
      <c r="Q50" s="54"/>
      <c r="R50" s="54"/>
      <c r="S50" s="54"/>
      <c r="T50" s="54"/>
      <c r="U50" s="54"/>
    </row>
    <row r="51" spans="1:2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5"/>
      <c r="O51" s="55"/>
      <c r="P51" s="54"/>
      <c r="Q51" s="54"/>
      <c r="R51" s="54"/>
      <c r="S51" s="54"/>
      <c r="T51" s="54"/>
      <c r="U51" s="54"/>
    </row>
    <row r="52" spans="1:2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5"/>
      <c r="O52" s="55"/>
      <c r="P52" s="54"/>
      <c r="Q52" s="54"/>
      <c r="R52" s="54"/>
      <c r="S52" s="54"/>
      <c r="T52" s="54"/>
      <c r="U52" s="54"/>
    </row>
    <row r="53" spans="1:2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5"/>
      <c r="O53" s="55"/>
      <c r="P53" s="54"/>
      <c r="Q53" s="54"/>
      <c r="R53" s="54"/>
      <c r="S53" s="54"/>
      <c r="T53" s="54"/>
      <c r="U53" s="54"/>
    </row>
    <row r="54" spans="1:2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5"/>
      <c r="O54" s="55"/>
      <c r="P54" s="54"/>
      <c r="Q54" s="54"/>
      <c r="R54" s="54"/>
      <c r="S54" s="54"/>
      <c r="T54" s="54"/>
      <c r="U54" s="54"/>
    </row>
    <row r="55" spans="14:21" ht="13.5">
      <c r="N55" s="55"/>
      <c r="O55" s="54"/>
      <c r="P55" s="54"/>
      <c r="Q55" s="54"/>
      <c r="R55" s="54"/>
      <c r="S55" s="54"/>
      <c r="T55" s="54"/>
      <c r="U55" s="54"/>
    </row>
    <row r="56" spans="14:21" ht="13.5">
      <c r="N56" s="55"/>
      <c r="O56" s="54"/>
      <c r="P56" s="54"/>
      <c r="Q56" s="54"/>
      <c r="R56" s="54"/>
      <c r="S56" s="54"/>
      <c r="T56" s="54"/>
      <c r="U56" s="54"/>
    </row>
    <row r="57" spans="14:21" ht="13.5">
      <c r="N57" s="55"/>
      <c r="O57" s="54"/>
      <c r="P57" s="54"/>
      <c r="Q57" s="54"/>
      <c r="R57" s="54"/>
      <c r="S57" s="54"/>
      <c r="T57" s="54"/>
      <c r="U57" s="54"/>
    </row>
    <row r="58" spans="14:21" ht="13.5">
      <c r="N58" s="55"/>
      <c r="O58" s="54"/>
      <c r="P58" s="54"/>
      <c r="Q58" s="54"/>
      <c r="R58" s="54"/>
      <c r="S58" s="54"/>
      <c r="T58" s="54"/>
      <c r="U58" s="54"/>
    </row>
    <row r="59" spans="14:21" ht="13.5">
      <c r="N59" s="55"/>
      <c r="O59" s="54"/>
      <c r="P59" s="54"/>
      <c r="Q59" s="54"/>
      <c r="R59" s="54"/>
      <c r="S59" s="54"/>
      <c r="T59" s="54"/>
      <c r="U59" s="54"/>
    </row>
    <row r="60" spans="14:21" ht="13.5">
      <c r="N60" s="55"/>
      <c r="O60" s="54"/>
      <c r="P60" s="54"/>
      <c r="Q60" s="54"/>
      <c r="R60" s="54"/>
      <c r="S60" s="54"/>
      <c r="T60" s="54"/>
      <c r="U60" s="54"/>
    </row>
    <row r="61" spans="14:21" ht="13.5">
      <c r="N61" s="55"/>
      <c r="O61" s="54"/>
      <c r="P61" s="54"/>
      <c r="Q61" s="54"/>
      <c r="R61" s="54"/>
      <c r="S61" s="54"/>
      <c r="T61" s="54"/>
      <c r="U61" s="54"/>
    </row>
    <row r="62" spans="14:21" ht="13.5">
      <c r="N62" s="55"/>
      <c r="O62" s="54"/>
      <c r="P62" s="54"/>
      <c r="Q62" s="54"/>
      <c r="R62" s="54"/>
      <c r="S62" s="54"/>
      <c r="T62" s="54"/>
      <c r="U62" s="54"/>
    </row>
    <row r="63" spans="14:21" ht="13.5">
      <c r="N63" s="55"/>
      <c r="O63" s="54"/>
      <c r="P63" s="54"/>
      <c r="Q63" s="54"/>
      <c r="R63" s="54"/>
      <c r="S63" s="54"/>
      <c r="T63" s="54"/>
      <c r="U63" s="54"/>
    </row>
    <row r="64" spans="14:21" ht="13.5">
      <c r="N64" s="54"/>
      <c r="O64" s="54"/>
      <c r="P64" s="54"/>
      <c r="Q64" s="54"/>
      <c r="R64" s="54"/>
      <c r="S64" s="54"/>
      <c r="T64" s="54"/>
      <c r="U64" s="54"/>
    </row>
    <row r="65" spans="14:21" ht="13.5">
      <c r="N65" s="54"/>
      <c r="O65" s="54"/>
      <c r="P65" s="54"/>
      <c r="Q65" s="54"/>
      <c r="R65" s="54"/>
      <c r="S65" s="54"/>
      <c r="T65" s="54"/>
      <c r="U65" s="54"/>
    </row>
    <row r="66" spans="14:21" ht="13.5">
      <c r="N66" s="54"/>
      <c r="O66" s="54"/>
      <c r="P66" s="54"/>
      <c r="Q66" s="54"/>
      <c r="R66" s="54"/>
      <c r="S66" s="54"/>
      <c r="T66" s="54"/>
      <c r="U66" s="54"/>
    </row>
    <row r="67" spans="14:21" ht="13.5">
      <c r="N67" s="54"/>
      <c r="O67" s="54"/>
      <c r="P67" s="54"/>
      <c r="Q67" s="54"/>
      <c r="R67" s="54"/>
      <c r="S67" s="54"/>
      <c r="T67" s="54"/>
      <c r="U67" s="54"/>
    </row>
    <row r="68" spans="14:21" ht="13.5">
      <c r="N68" s="54"/>
      <c r="O68" s="54"/>
      <c r="P68" s="54"/>
      <c r="Q68" s="54"/>
      <c r="R68" s="54"/>
      <c r="S68" s="54"/>
      <c r="T68" s="54"/>
      <c r="U68" s="54"/>
    </row>
    <row r="69" spans="14:21" ht="13.5">
      <c r="N69" s="54"/>
      <c r="O69" s="54"/>
      <c r="P69" s="54"/>
      <c r="Q69" s="54"/>
      <c r="R69" s="54"/>
      <c r="S69" s="54"/>
      <c r="T69" s="54"/>
      <c r="U69" s="54"/>
    </row>
    <row r="70" spans="14:21" ht="13.5">
      <c r="N70" s="54"/>
      <c r="O70" s="54"/>
      <c r="P70" s="54"/>
      <c r="Q70" s="54"/>
      <c r="R70" s="54"/>
      <c r="S70" s="54"/>
      <c r="T70" s="54"/>
      <c r="U70" s="54"/>
    </row>
    <row r="71" spans="14:21" ht="13.5">
      <c r="N71" s="54"/>
      <c r="O71" s="54"/>
      <c r="P71" s="54"/>
      <c r="Q71" s="54"/>
      <c r="R71" s="54"/>
      <c r="S71" s="54"/>
      <c r="T71" s="54"/>
      <c r="U71" s="54"/>
    </row>
    <row r="72" spans="14:21" ht="13.5">
      <c r="N72" s="54"/>
      <c r="O72" s="54"/>
      <c r="P72" s="54"/>
      <c r="Q72" s="54"/>
      <c r="R72" s="54"/>
      <c r="S72" s="54"/>
      <c r="T72" s="54"/>
      <c r="U72" s="54"/>
    </row>
    <row r="73" spans="14:21" ht="13.5">
      <c r="N73" s="54"/>
      <c r="O73" s="54"/>
      <c r="P73" s="54"/>
      <c r="Q73" s="54"/>
      <c r="R73" s="54"/>
      <c r="S73" s="54"/>
      <c r="T73" s="54"/>
      <c r="U73" s="54"/>
    </row>
    <row r="74" spans="14:21" ht="13.5">
      <c r="N74" s="54"/>
      <c r="O74" s="54"/>
      <c r="P74" s="54"/>
      <c r="Q74" s="54"/>
      <c r="R74" s="54"/>
      <c r="S74" s="54"/>
      <c r="T74" s="54"/>
      <c r="U74" s="54"/>
    </row>
    <row r="75" spans="14:21" ht="13.5">
      <c r="N75" s="54"/>
      <c r="O75" s="54"/>
      <c r="P75" s="54"/>
      <c r="Q75" s="54"/>
      <c r="R75" s="54"/>
      <c r="S75" s="54"/>
      <c r="T75" s="54"/>
      <c r="U75" s="54"/>
    </row>
    <row r="76" spans="14:21" ht="13.5">
      <c r="N76" s="54"/>
      <c r="O76" s="54"/>
      <c r="P76" s="54"/>
      <c r="Q76" s="54"/>
      <c r="R76" s="54"/>
      <c r="S76" s="54"/>
      <c r="T76" s="54"/>
      <c r="U76" s="54"/>
    </row>
    <row r="77" spans="14:21" ht="13.5">
      <c r="N77" s="54"/>
      <c r="O77" s="54"/>
      <c r="P77" s="54"/>
      <c r="Q77" s="54"/>
      <c r="R77" s="54"/>
      <c r="S77" s="54"/>
      <c r="T77" s="54"/>
      <c r="U77" s="54"/>
    </row>
    <row r="78" spans="14:21" ht="13.5">
      <c r="N78" s="54"/>
      <c r="O78" s="54"/>
      <c r="P78" s="54"/>
      <c r="Q78" s="54"/>
      <c r="R78" s="54"/>
      <c r="S78" s="54"/>
      <c r="T78" s="54"/>
      <c r="U78" s="54"/>
    </row>
    <row r="79" spans="14:21" ht="13.5">
      <c r="N79" s="54"/>
      <c r="O79" s="54"/>
      <c r="P79" s="54"/>
      <c r="Q79" s="54"/>
      <c r="R79" s="54"/>
      <c r="S79" s="54"/>
      <c r="T79" s="54"/>
      <c r="U79" s="54"/>
    </row>
    <row r="80" spans="14:21" ht="13.5">
      <c r="N80" s="54"/>
      <c r="O80" s="54"/>
      <c r="P80" s="54"/>
      <c r="Q80" s="54"/>
      <c r="R80" s="54"/>
      <c r="S80" s="54"/>
      <c r="T80" s="54"/>
      <c r="U80" s="54"/>
    </row>
    <row r="81" spans="14:21" ht="13.5">
      <c r="N81" s="54"/>
      <c r="O81" s="54"/>
      <c r="P81" s="54"/>
      <c r="Q81" s="54"/>
      <c r="R81" s="54"/>
      <c r="S81" s="54"/>
      <c r="T81" s="54"/>
      <c r="U81" s="54"/>
    </row>
    <row r="82" spans="14:21" ht="13.5">
      <c r="N82" s="54"/>
      <c r="O82" s="54"/>
      <c r="P82" s="54"/>
      <c r="Q82" s="54"/>
      <c r="R82" s="54"/>
      <c r="S82" s="54"/>
      <c r="T82" s="54"/>
      <c r="U82" s="54"/>
    </row>
    <row r="83" spans="14:21" ht="13.5">
      <c r="N83" s="54"/>
      <c r="O83" s="54"/>
      <c r="P83" s="54"/>
      <c r="Q83" s="54"/>
      <c r="R83" s="54"/>
      <c r="S83" s="54"/>
      <c r="T83" s="54"/>
      <c r="U83" s="54"/>
    </row>
    <row r="84" spans="14:21" ht="13.5">
      <c r="N84" s="54"/>
      <c r="O84" s="54"/>
      <c r="P84" s="54"/>
      <c r="Q84" s="54"/>
      <c r="R84" s="54"/>
      <c r="S84" s="54"/>
      <c r="T84" s="54"/>
      <c r="U84" s="54"/>
    </row>
    <row r="85" spans="14:21" ht="13.5">
      <c r="N85" s="54"/>
      <c r="O85" s="54"/>
      <c r="P85" s="54"/>
      <c r="Q85" s="54"/>
      <c r="R85" s="54"/>
      <c r="S85" s="54"/>
      <c r="T85" s="54"/>
      <c r="U85" s="54"/>
    </row>
    <row r="86" spans="14:21" ht="13.5">
      <c r="N86" s="54"/>
      <c r="O86" s="54"/>
      <c r="P86" s="54"/>
      <c r="Q86" s="54"/>
      <c r="R86" s="54"/>
      <c r="S86" s="54"/>
      <c r="T86" s="54"/>
      <c r="U86" s="54"/>
    </row>
    <row r="87" spans="14:21" ht="13.5">
      <c r="N87" s="54"/>
      <c r="O87" s="54"/>
      <c r="P87" s="54"/>
      <c r="Q87" s="54"/>
      <c r="R87" s="54"/>
      <c r="S87" s="54"/>
      <c r="T87" s="54"/>
      <c r="U87" s="54"/>
    </row>
    <row r="88" spans="14:21" ht="13.5">
      <c r="N88" s="54"/>
      <c r="O88" s="54"/>
      <c r="P88" s="54"/>
      <c r="Q88" s="54"/>
      <c r="R88" s="54"/>
      <c r="S88" s="54"/>
      <c r="T88" s="54"/>
      <c r="U88" s="54"/>
    </row>
    <row r="89" spans="14:21" ht="13.5">
      <c r="N89" s="54"/>
      <c r="O89" s="54"/>
      <c r="P89" s="54"/>
      <c r="Q89" s="54"/>
      <c r="R89" s="54"/>
      <c r="S89" s="54"/>
      <c r="T89" s="54"/>
      <c r="U89" s="54"/>
    </row>
    <row r="90" spans="14:21" ht="13.5">
      <c r="N90" s="54"/>
      <c r="O90" s="54"/>
      <c r="P90" s="54"/>
      <c r="Q90" s="54"/>
      <c r="R90" s="54"/>
      <c r="S90" s="54"/>
      <c r="T90" s="54"/>
      <c r="U90" s="54"/>
    </row>
    <row r="91" spans="14:21" ht="13.5">
      <c r="N91" s="54"/>
      <c r="O91" s="54"/>
      <c r="P91" s="54"/>
      <c r="Q91" s="54"/>
      <c r="R91" s="54"/>
      <c r="S91" s="54"/>
      <c r="T91" s="54"/>
      <c r="U91" s="54"/>
    </row>
    <row r="92" spans="14:21" ht="13.5">
      <c r="N92" s="54"/>
      <c r="O92" s="54"/>
      <c r="P92" s="54"/>
      <c r="Q92" s="54"/>
      <c r="R92" s="54"/>
      <c r="S92" s="54"/>
      <c r="T92" s="54"/>
      <c r="U92" s="54"/>
    </row>
    <row r="93" spans="14:21" ht="13.5">
      <c r="N93" s="54"/>
      <c r="O93" s="54"/>
      <c r="P93" s="54"/>
      <c r="Q93" s="54"/>
      <c r="R93" s="54"/>
      <c r="S93" s="54"/>
      <c r="T93" s="54"/>
      <c r="U93" s="54"/>
    </row>
    <row r="94" spans="14:21" ht="13.5">
      <c r="N94" s="54"/>
      <c r="O94" s="54"/>
      <c r="P94" s="54"/>
      <c r="Q94" s="54"/>
      <c r="R94" s="54"/>
      <c r="S94" s="54"/>
      <c r="T94" s="54"/>
      <c r="U94" s="54"/>
    </row>
    <row r="95" spans="14:21" ht="13.5">
      <c r="N95" s="54"/>
      <c r="O95" s="54"/>
      <c r="P95" s="54"/>
      <c r="Q95" s="54"/>
      <c r="R95" s="54"/>
      <c r="S95" s="54"/>
      <c r="T95" s="54"/>
      <c r="U95" s="54"/>
    </row>
    <row r="96" spans="14:21" ht="13.5">
      <c r="N96" s="54"/>
      <c r="O96" s="54"/>
      <c r="P96" s="54"/>
      <c r="Q96" s="54"/>
      <c r="R96" s="54"/>
      <c r="S96" s="54"/>
      <c r="T96" s="54"/>
      <c r="U96" s="54"/>
    </row>
    <row r="97" spans="14:21" ht="13.5">
      <c r="N97" s="54"/>
      <c r="O97" s="54"/>
      <c r="P97" s="54"/>
      <c r="Q97" s="54"/>
      <c r="R97" s="54"/>
      <c r="S97" s="54"/>
      <c r="T97" s="54"/>
      <c r="U97" s="54"/>
    </row>
    <row r="98" spans="14:21" ht="13.5">
      <c r="N98" s="54"/>
      <c r="O98" s="54"/>
      <c r="P98" s="54"/>
      <c r="Q98" s="54"/>
      <c r="R98" s="54"/>
      <c r="S98" s="54"/>
      <c r="T98" s="54"/>
      <c r="U98" s="54"/>
    </row>
    <row r="99" spans="14:21" ht="13.5">
      <c r="N99" s="54"/>
      <c r="O99" s="54"/>
      <c r="P99" s="54"/>
      <c r="Q99" s="54"/>
      <c r="R99" s="54"/>
      <c r="S99" s="54"/>
      <c r="T99" s="54"/>
      <c r="U99" s="54"/>
    </row>
    <row r="100" spans="14:21" ht="13.5">
      <c r="N100" s="54"/>
      <c r="O100" s="54"/>
      <c r="P100" s="54"/>
      <c r="Q100" s="54"/>
      <c r="R100" s="54"/>
      <c r="S100" s="54"/>
      <c r="T100" s="54"/>
      <c r="U100" s="54"/>
    </row>
    <row r="101" spans="14:21" ht="13.5">
      <c r="N101" s="54"/>
      <c r="O101" s="54"/>
      <c r="P101" s="54"/>
      <c r="Q101" s="54"/>
      <c r="R101" s="54"/>
      <c r="S101" s="54"/>
      <c r="T101" s="54"/>
      <c r="U101" s="54"/>
    </row>
    <row r="102" spans="14:21" ht="13.5">
      <c r="N102" s="54"/>
      <c r="O102" s="54"/>
      <c r="P102" s="54"/>
      <c r="Q102" s="54"/>
      <c r="R102" s="54"/>
      <c r="S102" s="54"/>
      <c r="T102" s="54"/>
      <c r="U102" s="54"/>
    </row>
    <row r="103" spans="14:21" ht="13.5">
      <c r="N103" s="54"/>
      <c r="O103" s="54"/>
      <c r="P103" s="54"/>
      <c r="Q103" s="54"/>
      <c r="R103" s="54"/>
      <c r="S103" s="54"/>
      <c r="T103" s="54"/>
      <c r="U103" s="54"/>
    </row>
    <row r="104" spans="14:21" ht="13.5">
      <c r="N104" s="54"/>
      <c r="O104" s="54"/>
      <c r="P104" s="54"/>
      <c r="Q104" s="54"/>
      <c r="R104" s="54"/>
      <c r="S104" s="54"/>
      <c r="T104" s="54"/>
      <c r="U104" s="54"/>
    </row>
    <row r="105" spans="14:21" ht="13.5">
      <c r="N105" s="54"/>
      <c r="O105" s="54"/>
      <c r="P105" s="54"/>
      <c r="Q105" s="54"/>
      <c r="R105" s="54"/>
      <c r="S105" s="54"/>
      <c r="T105" s="54"/>
      <c r="U105" s="54"/>
    </row>
    <row r="106" spans="14:21" ht="13.5">
      <c r="N106" s="54"/>
      <c r="O106" s="54"/>
      <c r="P106" s="54"/>
      <c r="Q106" s="54"/>
      <c r="R106" s="54"/>
      <c r="S106" s="54"/>
      <c r="T106" s="54"/>
      <c r="U106" s="54"/>
    </row>
    <row r="107" spans="14:21" ht="13.5">
      <c r="N107" s="54"/>
      <c r="O107" s="54"/>
      <c r="P107" s="54"/>
      <c r="Q107" s="54"/>
      <c r="R107" s="54"/>
      <c r="S107" s="54"/>
      <c r="T107" s="54"/>
      <c r="U107" s="54"/>
    </row>
    <row r="108" spans="14:21" ht="13.5">
      <c r="N108" s="54"/>
      <c r="O108" s="54"/>
      <c r="P108" s="54"/>
      <c r="Q108" s="54"/>
      <c r="R108" s="54"/>
      <c r="S108" s="54"/>
      <c r="T108" s="54"/>
      <c r="U108" s="54"/>
    </row>
    <row r="109" spans="14:21" ht="13.5">
      <c r="N109" s="54"/>
      <c r="O109" s="54"/>
      <c r="P109" s="54"/>
      <c r="Q109" s="54"/>
      <c r="R109" s="54"/>
      <c r="S109" s="54"/>
      <c r="T109" s="54"/>
      <c r="U109" s="54"/>
    </row>
    <row r="110" spans="14:21" ht="13.5">
      <c r="N110" s="54"/>
      <c r="O110" s="54"/>
      <c r="P110" s="54"/>
      <c r="Q110" s="54"/>
      <c r="R110" s="54"/>
      <c r="S110" s="54"/>
      <c r="T110" s="54"/>
      <c r="U110" s="54"/>
    </row>
    <row r="111" spans="14:21" ht="13.5">
      <c r="N111" s="54"/>
      <c r="O111" s="54"/>
      <c r="P111" s="54"/>
      <c r="Q111" s="54"/>
      <c r="R111" s="54"/>
      <c r="S111" s="54"/>
      <c r="T111" s="54"/>
      <c r="U111" s="54"/>
    </row>
  </sheetData>
  <mergeCells count="2">
    <mergeCell ref="J2:K2"/>
    <mergeCell ref="B1:D1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1"/>
  <sheetViews>
    <sheetView workbookViewId="0" topLeftCell="A1">
      <selection activeCell="J2" sqref="J2:K2"/>
    </sheetView>
  </sheetViews>
  <sheetFormatPr defaultColWidth="8.796875" defaultRowHeight="14.25"/>
  <sheetData>
    <row r="1" spans="1:15" ht="14.25" thickBot="1">
      <c r="A1" s="80" t="s">
        <v>4</v>
      </c>
      <c r="B1" s="196"/>
      <c r="C1" s="197"/>
      <c r="D1" s="198"/>
      <c r="F1" s="55"/>
      <c r="O1" s="55" t="s">
        <v>36</v>
      </c>
    </row>
    <row r="2" spans="1:21" ht="14.25" thickBot="1">
      <c r="A2" s="2" t="s">
        <v>32</v>
      </c>
      <c r="B2" s="55"/>
      <c r="C2" s="55" t="s">
        <v>26</v>
      </c>
      <c r="D2" s="190">
        <f>'多荷重自由端（長期）'!D2</f>
        <v>3.6</v>
      </c>
      <c r="E2" s="55" t="s">
        <v>27</v>
      </c>
      <c r="G2" s="82" t="s">
        <v>28</v>
      </c>
      <c r="H2" s="191">
        <v>205000000</v>
      </c>
      <c r="I2" s="66" t="s">
        <v>22</v>
      </c>
      <c r="J2" s="199">
        <f>'多荷重自由端（長期）'!J2:K2</f>
        <v>1806.051011566428</v>
      </c>
      <c r="K2" s="200"/>
      <c r="L2" s="2" t="s">
        <v>23</v>
      </c>
      <c r="M2" s="2"/>
      <c r="N2" s="54"/>
      <c r="O2" s="55" t="s">
        <v>37</v>
      </c>
      <c r="P2" s="54"/>
      <c r="Q2" s="54"/>
      <c r="R2" s="54"/>
      <c r="S2" s="54"/>
      <c r="T2" s="54"/>
      <c r="U2" s="54"/>
    </row>
    <row r="3" spans="1:21" ht="13.5">
      <c r="A3" s="3" t="s">
        <v>7</v>
      </c>
      <c r="B3" s="50" t="s">
        <v>13</v>
      </c>
      <c r="C3" s="50" t="s">
        <v>14</v>
      </c>
      <c r="D3" s="50" t="s">
        <v>14</v>
      </c>
      <c r="E3" s="50" t="s">
        <v>14</v>
      </c>
      <c r="F3" s="8"/>
      <c r="G3" s="32" t="s">
        <v>33</v>
      </c>
      <c r="H3" s="95"/>
      <c r="I3" s="95"/>
      <c r="J3" s="95" t="s">
        <v>20</v>
      </c>
      <c r="K3" s="95"/>
      <c r="L3" s="95"/>
      <c r="M3" s="51" t="s">
        <v>16</v>
      </c>
      <c r="N3" s="54"/>
      <c r="P3" s="54"/>
      <c r="Q3" s="54"/>
      <c r="R3" s="54"/>
      <c r="S3" s="54"/>
      <c r="T3" s="54"/>
      <c r="U3" s="54"/>
    </row>
    <row r="4" spans="1:21" ht="14.25" thickBot="1">
      <c r="A4" s="7" t="s">
        <v>4</v>
      </c>
      <c r="B4" s="9" t="s">
        <v>3</v>
      </c>
      <c r="C4" s="9" t="s">
        <v>2</v>
      </c>
      <c r="D4" s="9" t="s">
        <v>0</v>
      </c>
      <c r="E4" s="9" t="s">
        <v>1</v>
      </c>
      <c r="F4" s="9"/>
      <c r="G4" s="52">
        <v>0</v>
      </c>
      <c r="H4" s="92">
        <f>D2/6</f>
        <v>0.6</v>
      </c>
      <c r="I4" s="92">
        <f>D2/6*2</f>
        <v>1.2</v>
      </c>
      <c r="J4" s="92">
        <f>D2/2</f>
        <v>1.8</v>
      </c>
      <c r="K4" s="92">
        <f>D2/6*4</f>
        <v>2.4</v>
      </c>
      <c r="L4" s="92">
        <f>D2/6*5</f>
        <v>3</v>
      </c>
      <c r="M4" s="6">
        <f>C5</f>
        <v>3.6</v>
      </c>
      <c r="N4" s="54"/>
      <c r="O4" s="55" t="s">
        <v>31</v>
      </c>
      <c r="P4" s="54"/>
      <c r="Q4" s="54"/>
      <c r="R4" s="54"/>
      <c r="S4" s="54"/>
      <c r="T4" s="54"/>
      <c r="U4" s="54"/>
    </row>
    <row r="5" spans="1:21" ht="13.5">
      <c r="A5" s="58" t="s">
        <v>7</v>
      </c>
      <c r="B5" s="56">
        <v>18</v>
      </c>
      <c r="C5" s="34">
        <f>D2</f>
        <v>3.6</v>
      </c>
      <c r="D5" s="56">
        <v>2</v>
      </c>
      <c r="E5" s="34">
        <f>C5-D5</f>
        <v>1.6</v>
      </c>
      <c r="F5" s="28" t="s">
        <v>9</v>
      </c>
      <c r="G5" s="12">
        <f aca="true" t="shared" si="0" ref="G5:M5">IF(G$4&lt;=$D5,$B5*$E5*G$4/($D5+$E5),$B5*$D5*($D5+$E5-G$4)/($D5+$E5))</f>
        <v>0</v>
      </c>
      <c r="H5" s="12">
        <f t="shared" si="0"/>
        <v>4.8</v>
      </c>
      <c r="I5" s="12">
        <f t="shared" si="0"/>
        <v>9.6</v>
      </c>
      <c r="J5" s="12">
        <f t="shared" si="0"/>
        <v>14.4</v>
      </c>
      <c r="K5" s="12">
        <f t="shared" si="0"/>
        <v>12</v>
      </c>
      <c r="L5" s="12">
        <f t="shared" si="0"/>
        <v>6</v>
      </c>
      <c r="M5" s="13">
        <f t="shared" si="0"/>
        <v>0</v>
      </c>
      <c r="N5" s="54"/>
      <c r="O5" s="55"/>
      <c r="P5" s="54"/>
      <c r="Q5" s="54"/>
      <c r="R5" s="54"/>
      <c r="S5" s="54"/>
      <c r="T5" s="54"/>
      <c r="U5" s="54"/>
    </row>
    <row r="6" spans="1:21" ht="13.5">
      <c r="A6" s="62"/>
      <c r="B6" s="77"/>
      <c r="C6" s="49"/>
      <c r="D6" s="77"/>
      <c r="E6" s="49"/>
      <c r="F6" s="29" t="s">
        <v>10</v>
      </c>
      <c r="G6" s="27">
        <f aca="true" t="shared" si="1" ref="G6:L6">IF(G$4&lt;=$D5,$B5*$E5/$C5,-1*$B5*$D5/$C5)</f>
        <v>8</v>
      </c>
      <c r="H6" s="27">
        <f t="shared" si="1"/>
        <v>8</v>
      </c>
      <c r="I6" s="27">
        <f t="shared" si="1"/>
        <v>8</v>
      </c>
      <c r="J6" s="27">
        <f t="shared" si="1"/>
        <v>8</v>
      </c>
      <c r="K6" s="27">
        <f t="shared" si="1"/>
        <v>-10</v>
      </c>
      <c r="L6" s="27">
        <f t="shared" si="1"/>
        <v>-10</v>
      </c>
      <c r="M6" s="44">
        <f>IF(M$4&lt;=$D5,-B5,-1*$B5*$D5/$C5)</f>
        <v>-10</v>
      </c>
      <c r="N6" s="54"/>
      <c r="O6" s="93" t="s">
        <v>34</v>
      </c>
      <c r="P6" s="54"/>
      <c r="Q6" s="54"/>
      <c r="R6" s="54"/>
      <c r="S6" s="54"/>
      <c r="T6" s="54"/>
      <c r="U6" s="54"/>
    </row>
    <row r="7" spans="1:21" ht="13.5">
      <c r="A7" s="59"/>
      <c r="B7" s="43"/>
      <c r="C7" s="46"/>
      <c r="D7" s="43"/>
      <c r="E7" s="46"/>
      <c r="F7" s="68" t="s">
        <v>21</v>
      </c>
      <c r="G7" s="63">
        <v>0</v>
      </c>
      <c r="H7" s="63">
        <f>IF($D5*$E5=0,0,IF(H$4&lt;=$D5,$B5*$D5^2*$E5^2/(6*$H$2*$J$2/100000000*$D$2)*(2*H$4/$D5+H$4/$E5-H$4^3/($D5^2*$E5))*1000,$B5*$D5^2*$E5^2/(6*$H$2*$J$2/100000000*$D$2)*(2*($D$2-H$4)/$E5+($D$2-H$4)/$D5-($D$2-H$4)^3/($E5^2*$D5))*1000))</f>
        <v>2.169400950136837</v>
      </c>
      <c r="I7" s="63">
        <f>IF($D5*$E5=0,0,IF(I$4&lt;=$D5,$B5*$D5^2*$E5^2/(6*$H$2*$J$2/100000000*$D$2)*(2*I$4/$D5+I$4/$E5-I$4^3/($D5^2*$E5))*1000,$B5*$D5^2*$E5^2/(6*$H$2*$J$2/100000000*$D$2)*(2*($D$2-I$4)/$E5+($D$2-I$4)/$D5-($D$2-I$4)^3/($E5^2*$D5))*1000))</f>
        <v>3.87207818988567</v>
      </c>
      <c r="J7" s="63">
        <f>IF($D5*$E5=0,0,IF(J$4&lt;=$D5,$B5*$D5^2*$E5^2/(6*$H$2*$J$2/100000000*$D$2)*(2*J$4/$D5+J$4/$E5-J$4^3/($D5^2*$E5))*1000,$B5*$D5^2*$E5^2/(6*$H$2*$J$2/100000000*$D$2)*(2*($D$2-J$4)/$E5+($D$2-J$4)/$D5-($D$2-J$4)^3/($E5^2*$D5))*1000))</f>
        <v>4.641308008858493</v>
      </c>
      <c r="K7" s="63">
        <f>IF($D5*$E5=0,0,IF(K$4&lt;=$D5,$B5*$D5^2*$E5^2/(6*$H$2*$J$2/100000000*$D$2)*(2*K$4/$D5+K$4/$E5-K$4^3/($D5^2*$E5))*1000,$B5*$D5^2*$E5^2/(6*$H$2*$J$2/100000000*$D$2)*(2*($D$2-K$4)/$E5+($D$2-K$4)/$D5-($D$2-K$4)^3/($E5^2*$D5))*1000))</f>
        <v>4.062224886710414</v>
      </c>
      <c r="L7" s="63">
        <f>IF($D5*$E5=0,0,IF(L$4&lt;=$D5,$B5*$D5^2*$E5^2/(6*$H$2*$J$2/100000000*$D$2)*(2*L$4/$D5+L$4/$E5-L$4^3/($D5^2*$E5))*1000,$B5*$D5^2*$E5^2/(6*$H$2*$J$2/100000000*$D$2)*(2*($D$2-L$4)/$E5+($D$2-L$4)/$D5-($D$2-L$4)^3/($E5^2*$D5))*1000))</f>
        <v>2.3228147623477104</v>
      </c>
      <c r="M7" s="69">
        <v>0</v>
      </c>
      <c r="N7" s="54"/>
      <c r="O7" s="94" t="s">
        <v>35</v>
      </c>
      <c r="P7" s="54"/>
      <c r="Q7" s="54"/>
      <c r="R7" s="54"/>
      <c r="S7" s="54"/>
      <c r="T7" s="54"/>
      <c r="U7" s="54"/>
    </row>
    <row r="8" spans="1:21" ht="13.5">
      <c r="A8" s="60"/>
      <c r="B8" s="57"/>
      <c r="C8" s="47">
        <f>C5</f>
        <v>3.6</v>
      </c>
      <c r="D8" s="57"/>
      <c r="E8" s="47">
        <f>C8-D8</f>
        <v>3.6</v>
      </c>
      <c r="F8" s="40" t="s">
        <v>9</v>
      </c>
      <c r="G8" s="36">
        <f aca="true" t="shared" si="2" ref="G8:M8">IF(G$4&lt;=$D8,$B8*$E8*G$4/($D8+$E8),$B8*$D8*($D8+$E8-G$4)/($D8+$E8))</f>
        <v>0</v>
      </c>
      <c r="H8" s="36">
        <f t="shared" si="2"/>
        <v>0</v>
      </c>
      <c r="I8" s="36">
        <f t="shared" si="2"/>
        <v>0</v>
      </c>
      <c r="J8" s="36">
        <f t="shared" si="2"/>
        <v>0</v>
      </c>
      <c r="K8" s="36">
        <f t="shared" si="2"/>
        <v>0</v>
      </c>
      <c r="L8" s="36">
        <f t="shared" si="2"/>
        <v>0</v>
      </c>
      <c r="M8" s="37">
        <f t="shared" si="2"/>
        <v>0</v>
      </c>
      <c r="N8" s="54"/>
      <c r="O8" s="93"/>
      <c r="P8" s="54"/>
      <c r="Q8" s="54"/>
      <c r="R8" s="54"/>
      <c r="S8" s="54"/>
      <c r="T8" s="54"/>
      <c r="U8" s="54"/>
    </row>
    <row r="9" spans="1:21" ht="13.5">
      <c r="A9" s="62"/>
      <c r="B9" s="77"/>
      <c r="C9" s="49"/>
      <c r="D9" s="77"/>
      <c r="E9" s="49"/>
      <c r="F9" s="29" t="s">
        <v>10</v>
      </c>
      <c r="G9" s="27">
        <f aca="true" t="shared" si="3" ref="G9:L9">IF(G$4&lt;=$D8,$B8*$E8/$C8,-1*$B8*$D8/$C8)</f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  <c r="L9" s="27">
        <f t="shared" si="3"/>
        <v>0</v>
      </c>
      <c r="M9" s="44">
        <f>IF(M$4&lt;=$D8,-B8,-1*$B8*$D8/$C8)</f>
        <v>0</v>
      </c>
      <c r="N9" s="54"/>
      <c r="O9" s="55"/>
      <c r="P9" s="54"/>
      <c r="Q9" s="54"/>
      <c r="R9" s="54"/>
      <c r="S9" s="54"/>
      <c r="T9" s="54"/>
      <c r="U9" s="54"/>
    </row>
    <row r="10" spans="1:21" ht="13.5">
      <c r="A10" s="59"/>
      <c r="B10" s="43"/>
      <c r="C10" s="46"/>
      <c r="D10" s="43"/>
      <c r="E10" s="46"/>
      <c r="F10" s="68" t="s">
        <v>21</v>
      </c>
      <c r="G10" s="63">
        <v>0</v>
      </c>
      <c r="H10" s="63">
        <f>IF($D8*$E8=0,0,IF(H$4&lt;=$D8,$B8*$D8^2*$E8^2/(6*$H$2*$J$2/100000000*$D$2)*(2*H$4/$D8+H$4/$E8-H$4^3/($D8^2*$E8))*1000,$B8*$D8^2*$E8^2/(6*$H$2*$J$2/100000000*$D$2)*(2*($D$2-H$4)/$E8+($D$2-H$4)/$D8-($D$2-H$4)^3/($E8^2*$D8))*1000))</f>
        <v>0</v>
      </c>
      <c r="I10" s="63">
        <f>IF($D8*$E8=0,0,IF(I$4&lt;=$D8,$B8*$D8^2*$E8^2/(6*$H$2*$J$2/100000000*$D$2)*(2*I$4/$D8+I$4/$E8-I$4^3/($D8^2*$E8))*1000,$B8*$D8^2*$E8^2/(6*$H$2*$J$2/100000000*$D$2)*(2*($D$2-I$4)/$E8+($D$2-I$4)/$D8-($D$2-I$4)^3/($E8^2*$D8))*1000))</f>
        <v>0</v>
      </c>
      <c r="J10" s="63">
        <f>IF($D8*$E8=0,0,IF(J$4&lt;=$D8,$B8*$D8^2*$E8^2/(6*$H$2*$J$2/100000000*$D$2)*(2*J$4/$D8+J$4/$E8-J$4^3/($D8^2*$E8))*1000,$B8*$D8^2*$E8^2/(6*$H$2*$J$2/100000000*$D$2)*(2*($D$2-J$4)/$E8+($D$2-J$4)/$D8-($D$2-J$4)^3/($E8^2*$D8))*1000))</f>
        <v>0</v>
      </c>
      <c r="K10" s="63">
        <f>IF($D8*$E8=0,0,IF(K$4&lt;=$D8,$B8*$D8^2*$E8^2/(6*$H$2*$J$2/100000000*$D$2)*(2*K$4/$D8+K$4/$E8-K$4^3/($D8^2*$E8))*1000,$B8*$D8^2*$E8^2/(6*$H$2*$J$2/100000000*$D$2)*(2*($D$2-K$4)/$E8+($D$2-K$4)/$D8-($D$2-K$4)^3/($E8^2*$D8))*1000))</f>
        <v>0</v>
      </c>
      <c r="L10" s="63">
        <f>IF($D8*$E8=0,0,IF(L$4&lt;=$D8,$B8*$D8^2*$E8^2/(6*$H$2*$J$2/100000000*$D$2)*(2*L$4/$D8+L$4/$E8-L$4^3/($D8^2*$E8))*1000,$B8*$D8^2*$E8^2/(6*$H$2*$J$2/100000000*$D$2)*(2*($D$2-L$4)/$E8+($D$2-L$4)/$D8-($D$2-L$4)^3/($E8^2*$D8))*1000))</f>
        <v>0</v>
      </c>
      <c r="M10" s="69">
        <v>0</v>
      </c>
      <c r="N10" s="54"/>
      <c r="O10" s="55"/>
      <c r="P10" s="54"/>
      <c r="Q10" s="54"/>
      <c r="R10" s="54"/>
      <c r="S10" s="54"/>
      <c r="T10" s="54"/>
      <c r="U10" s="54"/>
    </row>
    <row r="11" spans="1:21" ht="13.5">
      <c r="A11" s="60"/>
      <c r="B11" s="57"/>
      <c r="C11" s="47">
        <f>C5</f>
        <v>3.6</v>
      </c>
      <c r="D11" s="57"/>
      <c r="E11" s="47">
        <f>C11-D11</f>
        <v>3.6</v>
      </c>
      <c r="F11" s="40" t="s">
        <v>9</v>
      </c>
      <c r="G11" s="36">
        <f aca="true" t="shared" si="4" ref="G11:M11">IF(G$4&lt;=$D11,$B11*$E11*G$4/($D11+$E11),$B11*$D11*($D11+$E11-G$4)/($D11+$E11))</f>
        <v>0</v>
      </c>
      <c r="H11" s="36">
        <f t="shared" si="4"/>
        <v>0</v>
      </c>
      <c r="I11" s="36">
        <f t="shared" si="4"/>
        <v>0</v>
      </c>
      <c r="J11" s="36">
        <f t="shared" si="4"/>
        <v>0</v>
      </c>
      <c r="K11" s="36">
        <f t="shared" si="4"/>
        <v>0</v>
      </c>
      <c r="L11" s="36">
        <f t="shared" si="4"/>
        <v>0</v>
      </c>
      <c r="M11" s="37">
        <f t="shared" si="4"/>
        <v>0</v>
      </c>
      <c r="N11" s="54"/>
      <c r="O11" s="55"/>
      <c r="P11" s="54"/>
      <c r="Q11" s="54"/>
      <c r="R11" s="54"/>
      <c r="S11" s="54"/>
      <c r="T11" s="54"/>
      <c r="U11" s="54"/>
    </row>
    <row r="12" spans="1:21" ht="13.5">
      <c r="A12" s="62"/>
      <c r="B12" s="77"/>
      <c r="C12" s="49"/>
      <c r="D12" s="77"/>
      <c r="E12" s="49"/>
      <c r="F12" s="29" t="s">
        <v>10</v>
      </c>
      <c r="G12" s="27">
        <f aca="true" t="shared" si="5" ref="G12:L12">IF(G$4&lt;=$D11,$B11*$E11/$C11,-1*$B11*$D11/$C11)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44">
        <f>IF(M$4&lt;=$D11,-B11,-1*$B11*$D11/$C11)</f>
        <v>0</v>
      </c>
      <c r="N12" s="54"/>
      <c r="O12" s="55"/>
      <c r="P12" s="54"/>
      <c r="Q12" s="54"/>
      <c r="R12" s="54"/>
      <c r="S12" s="54"/>
      <c r="T12" s="54"/>
      <c r="U12" s="54"/>
    </row>
    <row r="13" spans="1:21" ht="13.5">
      <c r="A13" s="59"/>
      <c r="B13" s="43"/>
      <c r="C13" s="46"/>
      <c r="D13" s="43"/>
      <c r="E13" s="46"/>
      <c r="F13" s="68" t="s">
        <v>21</v>
      </c>
      <c r="G13" s="63">
        <v>0</v>
      </c>
      <c r="H13" s="63">
        <f>IF($D11*$E11=0,0,IF(H$4&lt;=$D11,$B11*$D11^2*$E11^2/(6*$H$2*$J$2/100000000*$D$2)*(2*H$4/$D11+H$4/$E11-H$4^3/($D11^2*$E11))*1000,$B11*$D11^2*$E11^2/(6*$H$2*$J$2/100000000*$D$2)*(2*($D$2-H$4)/$E11+($D$2-H$4)/$D11-($D$2-H$4)^3/($E11^2*$D11))*1000))</f>
        <v>0</v>
      </c>
      <c r="I13" s="63">
        <f>IF($D11*$E11=0,0,IF(I$4&lt;=$D11,$B11*$D11^2*$E11^2/(6*$H$2*$J$2/100000000*$D$2)*(2*I$4/$D11+I$4/$E11-I$4^3/($D11^2*$E11))*1000,$B11*$D11^2*$E11^2/(6*$H$2*$J$2/100000000*$D$2)*(2*($D$2-I$4)/$E11+($D$2-I$4)/$D11-($D$2-I$4)^3/($E11^2*$D11))*1000))</f>
        <v>0</v>
      </c>
      <c r="J13" s="63">
        <f>IF($D11*$E11=0,0,IF(J$4&lt;=$D11,$B11*$D11^2*$E11^2/(6*$H$2*$J$2/100000000*$D$2)*(2*J$4/$D11+J$4/$E11-J$4^3/($D11^2*$E11))*1000,$B11*$D11^2*$E11^2/(6*$H$2*$J$2/100000000*$D$2)*(2*($D$2-J$4)/$E11+($D$2-J$4)/$D11-($D$2-J$4)^3/($E11^2*$D11))*1000))</f>
        <v>0</v>
      </c>
      <c r="K13" s="63">
        <f>IF($D11*$E11=0,0,IF(K$4&lt;=$D11,$B11*$D11^2*$E11^2/(6*$H$2*$J$2/100000000*$D$2)*(2*K$4/$D11+K$4/$E11-K$4^3/($D11^2*$E11))*1000,$B11*$D11^2*$E11^2/(6*$H$2*$J$2/100000000*$D$2)*(2*($D$2-K$4)/$E11+($D$2-K$4)/$D11-($D$2-K$4)^3/($E11^2*$D11))*1000))</f>
        <v>0</v>
      </c>
      <c r="L13" s="63">
        <f>IF($D11*$E11=0,0,IF(L$4&lt;=$D11,$B11*$D11^2*$E11^2/(6*$H$2*$J$2/100000000*$D$2)*(2*L$4/$D11+L$4/$E11-L$4^3/($D11^2*$E11))*1000,$B11*$D11^2*$E11^2/(6*$H$2*$J$2/100000000*$D$2)*(2*($D$2-L$4)/$E11+($D$2-L$4)/$D11-($D$2-L$4)^3/($E11^2*$D11))*1000))</f>
        <v>0</v>
      </c>
      <c r="M13" s="69">
        <v>0</v>
      </c>
      <c r="N13" s="54"/>
      <c r="O13" s="55"/>
      <c r="P13" s="54"/>
      <c r="Q13" s="54"/>
      <c r="R13" s="54"/>
      <c r="S13" s="54"/>
      <c r="T13" s="54"/>
      <c r="U13" s="54"/>
    </row>
    <row r="14" spans="1:21" ht="13.5">
      <c r="A14" s="60"/>
      <c r="B14" s="57"/>
      <c r="C14" s="47">
        <f>C5</f>
        <v>3.6</v>
      </c>
      <c r="D14" s="57"/>
      <c r="E14" s="47">
        <f>C14-D14</f>
        <v>3.6</v>
      </c>
      <c r="F14" s="40" t="s">
        <v>9</v>
      </c>
      <c r="G14" s="36">
        <f aca="true" t="shared" si="6" ref="G14:M14">IF(G$4&lt;=$D14,$B14*$E14*G$4/($D14+$E14),$B14*$D14*($D14+$E14-G$4)/($D14+$E14))</f>
        <v>0</v>
      </c>
      <c r="H14" s="36">
        <f t="shared" si="6"/>
        <v>0</v>
      </c>
      <c r="I14" s="36">
        <f t="shared" si="6"/>
        <v>0</v>
      </c>
      <c r="J14" s="36">
        <f t="shared" si="6"/>
        <v>0</v>
      </c>
      <c r="K14" s="36">
        <f t="shared" si="6"/>
        <v>0</v>
      </c>
      <c r="L14" s="36">
        <f t="shared" si="6"/>
        <v>0</v>
      </c>
      <c r="M14" s="37">
        <f t="shared" si="6"/>
        <v>0</v>
      </c>
      <c r="N14" s="54"/>
      <c r="O14" s="55"/>
      <c r="P14" s="54"/>
      <c r="Q14" s="54"/>
      <c r="R14" s="54"/>
      <c r="S14" s="54"/>
      <c r="T14" s="54"/>
      <c r="U14" s="54"/>
    </row>
    <row r="15" spans="1:21" ht="13.5">
      <c r="A15" s="62"/>
      <c r="B15" s="77"/>
      <c r="C15" s="49"/>
      <c r="D15" s="77"/>
      <c r="E15" s="49"/>
      <c r="F15" s="29" t="s">
        <v>10</v>
      </c>
      <c r="G15" s="27">
        <f aca="true" t="shared" si="7" ref="G15:L15">IF(G$4&lt;=$D14,$B14*$E14/$C14,-1*$B14*$D14/$C14)</f>
        <v>0</v>
      </c>
      <c r="H15" s="27">
        <f t="shared" si="7"/>
        <v>0</v>
      </c>
      <c r="I15" s="27">
        <f t="shared" si="7"/>
        <v>0</v>
      </c>
      <c r="J15" s="27">
        <f t="shared" si="7"/>
        <v>0</v>
      </c>
      <c r="K15" s="27">
        <f t="shared" si="7"/>
        <v>0</v>
      </c>
      <c r="L15" s="27">
        <f t="shared" si="7"/>
        <v>0</v>
      </c>
      <c r="M15" s="44">
        <f>IF(M$4&lt;=$D14,-B14,-1*$B14*$D14/$C14)</f>
        <v>0</v>
      </c>
      <c r="N15" s="54"/>
      <c r="O15" s="55"/>
      <c r="P15" s="54"/>
      <c r="Q15" s="54"/>
      <c r="R15" s="54"/>
      <c r="S15" s="54"/>
      <c r="T15" s="54"/>
      <c r="U15" s="54"/>
    </row>
    <row r="16" spans="1:21" ht="13.5">
      <c r="A16" s="59"/>
      <c r="B16" s="43"/>
      <c r="C16" s="46"/>
      <c r="D16" s="43"/>
      <c r="E16" s="46"/>
      <c r="F16" s="68" t="s">
        <v>21</v>
      </c>
      <c r="G16" s="63">
        <v>0</v>
      </c>
      <c r="H16" s="63">
        <f>IF($D14*$E14=0,0,IF(H$4&lt;=$D14,$B14*$D14^2*$E14^2/(6*$H$2*$J$2/100000000*$D$2)*(2*H$4/$D14+H$4/$E14-H$4^3/($D14^2*$E14))*1000,$B14*$D14^2*$E14^2/(6*$H$2*$J$2/100000000*$D$2)*(2*($D$2-H$4)/$E14+($D$2-H$4)/$D14-($D$2-H$4)^3/($E14^2*$D14))*1000))</f>
        <v>0</v>
      </c>
      <c r="I16" s="63">
        <f>IF($D14*$E14=0,0,IF(I$4&lt;=$D14,$B14*$D14^2*$E14^2/(6*$H$2*$J$2/100000000*$D$2)*(2*I$4/$D14+I$4/$E14-I$4^3/($D14^2*$E14))*1000,$B14*$D14^2*$E14^2/(6*$H$2*$J$2/100000000*$D$2)*(2*($D$2-I$4)/$E14+($D$2-I$4)/$D14-($D$2-I$4)^3/($E14^2*$D14))*1000))</f>
        <v>0</v>
      </c>
      <c r="J16" s="63">
        <f>IF($D14*$E14=0,0,IF(J$4&lt;=$D14,$B14*$D14^2*$E14^2/(6*$H$2*$J$2/100000000*$D$2)*(2*J$4/$D14+J$4/$E14-J$4^3/($D14^2*$E14))*1000,$B14*$D14^2*$E14^2/(6*$H$2*$J$2/100000000*$D$2)*(2*($D$2-J$4)/$E14+($D$2-J$4)/$D14-($D$2-J$4)^3/($E14^2*$D14))*1000))</f>
        <v>0</v>
      </c>
      <c r="K16" s="63">
        <f>IF($D14*$E14=0,0,IF(K$4&lt;=$D14,$B14*$D14^2*$E14^2/(6*$H$2*$J$2/100000000*$D$2)*(2*K$4/$D14+K$4/$E14-K$4^3/($D14^2*$E14))*1000,$B14*$D14^2*$E14^2/(6*$H$2*$J$2/100000000*$D$2)*(2*($D$2-K$4)/$E14+($D$2-K$4)/$D14-($D$2-K$4)^3/($E14^2*$D14))*1000))</f>
        <v>0</v>
      </c>
      <c r="L16" s="63">
        <f>IF($D14*$E14=0,0,IF(L$4&lt;=$D14,$B14*$D14^2*$E14^2/(6*$H$2*$J$2/100000000*$D$2)*(2*L$4/$D14+L$4/$E14-L$4^3/($D14^2*$E14))*1000,$B14*$D14^2*$E14^2/(6*$H$2*$J$2/100000000*$D$2)*(2*($D$2-L$4)/$E14+($D$2-L$4)/$D14-($D$2-L$4)^3/($E14^2*$D14))*1000))</f>
        <v>0</v>
      </c>
      <c r="M16" s="69">
        <v>0</v>
      </c>
      <c r="N16" s="54"/>
      <c r="O16" s="55"/>
      <c r="P16" s="54"/>
      <c r="Q16" s="54"/>
      <c r="R16" s="54"/>
      <c r="S16" s="54"/>
      <c r="T16" s="54"/>
      <c r="U16" s="54"/>
    </row>
    <row r="17" spans="1:21" ht="13.5">
      <c r="A17" s="60"/>
      <c r="B17" s="57"/>
      <c r="C17" s="47">
        <f>C5</f>
        <v>3.6</v>
      </c>
      <c r="D17" s="57"/>
      <c r="E17" s="47">
        <f>C17-D17</f>
        <v>3.6</v>
      </c>
      <c r="F17" s="40" t="s">
        <v>9</v>
      </c>
      <c r="G17" s="36">
        <f aca="true" t="shared" si="8" ref="G17:M17">IF(G$4&lt;=$D17,$B17*$E17*G$4/($D17+$E17),$B17*$D17*($D17+$E17-G$4)/($D17+$E17))</f>
        <v>0</v>
      </c>
      <c r="H17" s="36">
        <f t="shared" si="8"/>
        <v>0</v>
      </c>
      <c r="I17" s="36">
        <f t="shared" si="8"/>
        <v>0</v>
      </c>
      <c r="J17" s="36">
        <f t="shared" si="8"/>
        <v>0</v>
      </c>
      <c r="K17" s="36">
        <f t="shared" si="8"/>
        <v>0</v>
      </c>
      <c r="L17" s="36">
        <f t="shared" si="8"/>
        <v>0</v>
      </c>
      <c r="M17" s="37">
        <f t="shared" si="8"/>
        <v>0</v>
      </c>
      <c r="N17" s="54"/>
      <c r="O17" s="55"/>
      <c r="P17" s="54"/>
      <c r="Q17" s="54"/>
      <c r="R17" s="54"/>
      <c r="S17" s="54"/>
      <c r="T17" s="54"/>
      <c r="U17" s="54"/>
    </row>
    <row r="18" spans="1:21" ht="13.5">
      <c r="A18" s="62"/>
      <c r="B18" s="78"/>
      <c r="C18" s="70"/>
      <c r="D18" s="78"/>
      <c r="E18" s="70"/>
      <c r="F18" s="65" t="s">
        <v>10</v>
      </c>
      <c r="G18" s="10">
        <f aca="true" t="shared" si="9" ref="G18:L18">IF(G$4&lt;=$D17,$B17*$E17/$C17,-1*$B17*$D17/$C17)</f>
        <v>0</v>
      </c>
      <c r="H18" s="10">
        <f t="shared" si="9"/>
        <v>0</v>
      </c>
      <c r="I18" s="10">
        <f t="shared" si="9"/>
        <v>0</v>
      </c>
      <c r="J18" s="10">
        <f t="shared" si="9"/>
        <v>0</v>
      </c>
      <c r="K18" s="10">
        <f t="shared" si="9"/>
        <v>0</v>
      </c>
      <c r="L18" s="10">
        <f t="shared" si="9"/>
        <v>0</v>
      </c>
      <c r="M18" s="45">
        <f>IF(M$4&lt;=$D17,-B17,-1*$B17*$D17/$C17)</f>
        <v>0</v>
      </c>
      <c r="N18" s="54"/>
      <c r="O18" s="55"/>
      <c r="P18" s="54"/>
      <c r="Q18" s="54"/>
      <c r="R18" s="54"/>
      <c r="S18" s="54"/>
      <c r="T18" s="54"/>
      <c r="U18" s="54"/>
    </row>
    <row r="19" spans="1:21" ht="14.25" thickBot="1">
      <c r="A19" s="61"/>
      <c r="B19" s="79"/>
      <c r="C19" s="48"/>
      <c r="D19" s="79"/>
      <c r="E19" s="48"/>
      <c r="F19" s="97" t="s">
        <v>21</v>
      </c>
      <c r="G19" s="98">
        <v>0</v>
      </c>
      <c r="H19" s="98">
        <f>IF($D17*$E17=0,0,IF(H$4&lt;=$D17,$B17*$D17^2*$E17^2/(6*$H$2*$J$2/100000000*$D$2)*(2*H$4/$D17+H$4/$E17-H$4^3/($D17^2*$E17))*1000,$B17*$D17^2*$E17^2/(6*$H$2*$J$2/100000000*$D$2)*(2*($D$2-H$4)/$E17+($D$2-H$4)/$D17-($D$2-H$4)^3/($E17^2*$D17))*1000))</f>
        <v>0</v>
      </c>
      <c r="I19" s="98">
        <f>IF($D17*$E17=0,0,IF(I$4&lt;=$D17,$B17*$D17^2*$E17^2/(6*$H$2*$J$2/100000000*$D$2)*(2*I$4/$D17+I$4/$E17-I$4^3/($D17^2*$E17))*1000,$B17*$D17^2*$E17^2/(6*$H$2*$J$2/100000000*$D$2)*(2*($D$2-I$4)/$E17+($D$2-I$4)/$D17-($D$2-I$4)^3/($E17^2*$D17))*1000))</f>
        <v>0</v>
      </c>
      <c r="J19" s="98">
        <f>IF($D17*$E17=0,0,IF(J$4&lt;=$D17,$B17*$D17^2*$E17^2/(6*$H$2*$J$2/100000000*$D$2)*(2*J$4/$D17+J$4/$E17-J$4^3/($D17^2*$E17))*1000,$B17*$D17^2*$E17^2/(6*$H$2*$J$2/100000000*$D$2)*(2*($D$2-J$4)/$E17+($D$2-J$4)/$D17-($D$2-J$4)^3/($E17^2*$D17))*1000))</f>
        <v>0</v>
      </c>
      <c r="K19" s="98">
        <f>IF($D17*$E17=0,0,IF(K$4&lt;=$D17,$B17*$D17^2*$E17^2/(6*$H$2*$J$2/100000000*$D$2)*(2*K$4/$D17+K$4/$E17-K$4^3/($D17^2*$E17))*1000,$B17*$D17^2*$E17^2/(6*$H$2*$J$2/100000000*$D$2)*(2*($D$2-K$4)/$E17+($D$2-K$4)/$D17-($D$2-K$4)^3/($E17^2*$D17))*1000))</f>
        <v>0</v>
      </c>
      <c r="L19" s="98">
        <f>IF($D17*$E17=0,0,IF(L$4&lt;=$D17,$B17*$D17^2*$E17^2/(6*$H$2*$J$2/100000000*$D$2)*(2*L$4/$D17+L$4/$E17-L$4^3/($D17^2*$E17))*1000,$B17*$D17^2*$E17^2/(6*$H$2*$J$2/100000000*$D$2)*(2*($D$2-L$4)/$E17+($D$2-L$4)/$D17-($D$2-L$4)^3/($E17^2*$D17))*1000))</f>
        <v>0</v>
      </c>
      <c r="M19" s="99">
        <v>0</v>
      </c>
      <c r="N19" s="54"/>
      <c r="O19" s="55"/>
      <c r="P19" s="54"/>
      <c r="Q19" s="54"/>
      <c r="R19" s="54"/>
      <c r="S19" s="54"/>
      <c r="T19" s="54"/>
      <c r="U19" s="54"/>
    </row>
    <row r="20" spans="1:21" ht="14.25" thickBot="1">
      <c r="A20" s="31"/>
      <c r="B20" s="85"/>
      <c r="C20" s="89"/>
      <c r="D20" s="87"/>
      <c r="E20" s="83" t="s">
        <v>30</v>
      </c>
      <c r="F20" s="30" t="s">
        <v>9</v>
      </c>
      <c r="G20" s="14">
        <v>0</v>
      </c>
      <c r="H20" s="14">
        <f aca="true" t="shared" si="10" ref="H20:M21">H5+H8+H11+H14+H17</f>
        <v>4.8</v>
      </c>
      <c r="I20" s="14">
        <f t="shared" si="10"/>
        <v>9.6</v>
      </c>
      <c r="J20" s="14">
        <f t="shared" si="10"/>
        <v>14.4</v>
      </c>
      <c r="K20" s="14">
        <f t="shared" si="10"/>
        <v>12</v>
      </c>
      <c r="L20" s="14">
        <f t="shared" si="10"/>
        <v>6</v>
      </c>
      <c r="M20" s="15">
        <f t="shared" si="10"/>
        <v>0</v>
      </c>
      <c r="N20" s="55"/>
      <c r="O20" s="55"/>
      <c r="P20" s="54"/>
      <c r="Q20" s="54"/>
      <c r="R20" s="54"/>
      <c r="S20" s="54"/>
      <c r="T20" s="54"/>
      <c r="U20" s="54"/>
    </row>
    <row r="21" spans="1:21" ht="14.25" thickBot="1">
      <c r="A21" s="71"/>
      <c r="B21" s="86"/>
      <c r="C21" s="90"/>
      <c r="D21" s="88"/>
      <c r="E21" s="84" t="s">
        <v>13</v>
      </c>
      <c r="F21" s="33" t="s">
        <v>11</v>
      </c>
      <c r="G21" s="14">
        <f>G6+G9+G12+G15+G18</f>
        <v>8</v>
      </c>
      <c r="H21" s="34">
        <f t="shared" si="10"/>
        <v>8</v>
      </c>
      <c r="I21" s="34">
        <f t="shared" si="10"/>
        <v>8</v>
      </c>
      <c r="J21" s="34">
        <f t="shared" si="10"/>
        <v>8</v>
      </c>
      <c r="K21" s="34">
        <f t="shared" si="10"/>
        <v>-10</v>
      </c>
      <c r="L21" s="34">
        <f t="shared" si="10"/>
        <v>-10</v>
      </c>
      <c r="M21" s="35">
        <f t="shared" si="10"/>
        <v>-10</v>
      </c>
      <c r="N21" s="55"/>
      <c r="O21" s="55"/>
      <c r="P21" s="54"/>
      <c r="Q21" s="54"/>
      <c r="R21" s="54"/>
      <c r="S21" s="54"/>
      <c r="T21" s="54"/>
      <c r="U21" s="54"/>
    </row>
    <row r="22" spans="1:21" ht="14.25" thickBot="1">
      <c r="A22" s="71"/>
      <c r="B22" s="86"/>
      <c r="C22" s="91"/>
      <c r="D22" s="88"/>
      <c r="E22" s="84" t="s">
        <v>29</v>
      </c>
      <c r="F22" s="33" t="s">
        <v>24</v>
      </c>
      <c r="G22" s="14">
        <f>G7+G10+G13+G16+G19</f>
        <v>0</v>
      </c>
      <c r="H22" s="34">
        <f>H7+H10+H13+H16+H19</f>
        <v>2.169400950136837</v>
      </c>
      <c r="I22" s="34">
        <f>I7+I10+I13+I16+I19</f>
        <v>3.87207818988567</v>
      </c>
      <c r="J22" s="34">
        <f>J7+J10+J13+J16+J19</f>
        <v>4.641308008858493</v>
      </c>
      <c r="K22" s="34">
        <f>K7+K10+K13+K16+K19</f>
        <v>4.062224886710414</v>
      </c>
      <c r="L22" s="34">
        <f>L7+L10+L13+L16+L19</f>
        <v>2.3228147623477104</v>
      </c>
      <c r="M22" s="35">
        <v>0</v>
      </c>
      <c r="N22" s="55"/>
      <c r="O22" s="55"/>
      <c r="P22" s="54"/>
      <c r="Q22" s="54"/>
      <c r="R22" s="54"/>
      <c r="S22" s="54"/>
      <c r="T22" s="54"/>
      <c r="U22" s="54"/>
    </row>
    <row r="23" spans="1:21" ht="13.5">
      <c r="A23" s="3" t="s">
        <v>8</v>
      </c>
      <c r="B23" s="50" t="s">
        <v>19</v>
      </c>
      <c r="C23" s="50" t="s">
        <v>14</v>
      </c>
      <c r="D23" s="8"/>
      <c r="E23" s="8"/>
      <c r="F23" s="8"/>
      <c r="G23" s="32"/>
      <c r="H23" s="32"/>
      <c r="I23" s="32"/>
      <c r="J23" s="32"/>
      <c r="K23" s="32"/>
      <c r="L23" s="32"/>
      <c r="M23" s="51"/>
      <c r="N23" s="55"/>
      <c r="O23" s="55"/>
      <c r="P23" s="54"/>
      <c r="Q23" s="54"/>
      <c r="R23" s="54"/>
      <c r="S23" s="54"/>
      <c r="T23" s="54"/>
      <c r="U23" s="54"/>
    </row>
    <row r="24" spans="1:21" ht="14.25" thickBot="1">
      <c r="A24" s="19" t="s">
        <v>4</v>
      </c>
      <c r="B24" s="16" t="s">
        <v>6</v>
      </c>
      <c r="C24" s="17" t="s">
        <v>5</v>
      </c>
      <c r="D24" s="18"/>
      <c r="E24" s="18"/>
      <c r="F24" s="18"/>
      <c r="G24" s="52">
        <f aca="true" t="shared" si="11" ref="G24:M24">G4</f>
        <v>0</v>
      </c>
      <c r="H24" s="52">
        <f t="shared" si="11"/>
        <v>0.6</v>
      </c>
      <c r="I24" s="52">
        <f t="shared" si="11"/>
        <v>1.2</v>
      </c>
      <c r="J24" s="52">
        <f t="shared" si="11"/>
        <v>1.8</v>
      </c>
      <c r="K24" s="52">
        <f t="shared" si="11"/>
        <v>2.4</v>
      </c>
      <c r="L24" s="52">
        <f t="shared" si="11"/>
        <v>3</v>
      </c>
      <c r="M24" s="53">
        <f t="shared" si="11"/>
        <v>3.6</v>
      </c>
      <c r="N24" s="55"/>
      <c r="O24" s="55"/>
      <c r="P24" s="54"/>
      <c r="Q24" s="54"/>
      <c r="R24" s="54"/>
      <c r="S24" s="54"/>
      <c r="T24" s="54"/>
      <c r="U24" s="54"/>
    </row>
    <row r="25" spans="1:21" ht="13.5">
      <c r="A25" s="62" t="s">
        <v>174</v>
      </c>
      <c r="B25" s="63">
        <f>20.9*9.8/1000</f>
        <v>0.20482</v>
      </c>
      <c r="C25" s="49">
        <f>D2</f>
        <v>3.6</v>
      </c>
      <c r="D25" s="10"/>
      <c r="E25" s="10"/>
      <c r="F25" s="28" t="s">
        <v>9</v>
      </c>
      <c r="G25" s="10">
        <f>$B25*G$4*($C25-G$4)/2</f>
        <v>0</v>
      </c>
      <c r="H25" s="10">
        <f aca="true" t="shared" si="12" ref="H25:M27">$B25*H$4*($C25-H$4)/2</f>
        <v>0.184338</v>
      </c>
      <c r="I25" s="10">
        <f t="shared" si="12"/>
        <v>0.29494080000000006</v>
      </c>
      <c r="J25" s="10">
        <f t="shared" si="12"/>
        <v>0.3318084</v>
      </c>
      <c r="K25" s="10">
        <f t="shared" si="12"/>
        <v>0.29494080000000006</v>
      </c>
      <c r="L25" s="10">
        <f t="shared" si="12"/>
        <v>0.18433800000000003</v>
      </c>
      <c r="M25" s="4">
        <f t="shared" si="12"/>
        <v>0</v>
      </c>
      <c r="N25" s="55"/>
      <c r="O25" s="55"/>
      <c r="P25" s="54"/>
      <c r="Q25" s="54"/>
      <c r="R25" s="54"/>
      <c r="S25" s="54"/>
      <c r="T25" s="54"/>
      <c r="U25" s="54"/>
    </row>
    <row r="26" spans="1:21" ht="13.5">
      <c r="A26" s="62"/>
      <c r="B26" s="77"/>
      <c r="C26" s="49"/>
      <c r="D26" s="10"/>
      <c r="E26" s="10"/>
      <c r="F26" s="29" t="s">
        <v>10</v>
      </c>
      <c r="G26" s="10">
        <f>$B25*$C25/2-$B25*G$24</f>
        <v>0.368676</v>
      </c>
      <c r="H26" s="10">
        <f aca="true" t="shared" si="13" ref="H26:M26">$B25*$C25/2-$B25*H$24</f>
        <v>0.245784</v>
      </c>
      <c r="I26" s="10">
        <f t="shared" si="13"/>
        <v>0.122892</v>
      </c>
      <c r="J26" s="10">
        <f t="shared" si="13"/>
        <v>0</v>
      </c>
      <c r="K26" s="10">
        <f t="shared" si="13"/>
        <v>-0.122892</v>
      </c>
      <c r="L26" s="10">
        <f t="shared" si="13"/>
        <v>-0.245784</v>
      </c>
      <c r="M26" s="45">
        <f t="shared" si="13"/>
        <v>-0.368676</v>
      </c>
      <c r="N26" s="55"/>
      <c r="O26" s="55"/>
      <c r="P26" s="54"/>
      <c r="Q26" s="54"/>
      <c r="R26" s="54"/>
      <c r="S26" s="54"/>
      <c r="T26" s="54"/>
      <c r="U26" s="54"/>
    </row>
    <row r="27" spans="1:21" ht="13.5">
      <c r="A27" s="60"/>
      <c r="B27" s="57"/>
      <c r="C27" s="47">
        <f>D2</f>
        <v>3.6</v>
      </c>
      <c r="D27" s="41"/>
      <c r="E27" s="41"/>
      <c r="F27" s="40" t="s">
        <v>9</v>
      </c>
      <c r="G27" s="41">
        <f>$B27*G$4*($C27-G$4)/2</f>
        <v>0</v>
      </c>
      <c r="H27" s="41">
        <f t="shared" si="12"/>
        <v>0</v>
      </c>
      <c r="I27" s="41">
        <f t="shared" si="12"/>
        <v>0</v>
      </c>
      <c r="J27" s="41">
        <f t="shared" si="12"/>
        <v>0</v>
      </c>
      <c r="K27" s="41">
        <f t="shared" si="12"/>
        <v>0</v>
      </c>
      <c r="L27" s="41">
        <f t="shared" si="12"/>
        <v>0</v>
      </c>
      <c r="M27" s="42">
        <f t="shared" si="12"/>
        <v>0</v>
      </c>
      <c r="N27" s="55"/>
      <c r="O27" s="55"/>
      <c r="P27" s="54"/>
      <c r="Q27" s="54"/>
      <c r="R27" s="54"/>
      <c r="S27" s="54"/>
      <c r="T27" s="54"/>
      <c r="U27" s="54"/>
    </row>
    <row r="28" spans="1:21" ht="14.25" thickBot="1">
      <c r="A28" s="62"/>
      <c r="B28" s="77"/>
      <c r="C28" s="49"/>
      <c r="D28" s="10"/>
      <c r="E28" s="10"/>
      <c r="F28" s="29" t="s">
        <v>10</v>
      </c>
      <c r="G28" s="10">
        <f aca="true" t="shared" si="14" ref="G28:M28">$B27*$C27/2-$B27*G$24</f>
        <v>0</v>
      </c>
      <c r="H28" s="10">
        <f t="shared" si="14"/>
        <v>0</v>
      </c>
      <c r="I28" s="10">
        <f t="shared" si="14"/>
        <v>0</v>
      </c>
      <c r="J28" s="10">
        <f t="shared" si="14"/>
        <v>0</v>
      </c>
      <c r="K28" s="10">
        <f t="shared" si="14"/>
        <v>0</v>
      </c>
      <c r="L28" s="10">
        <f t="shared" si="14"/>
        <v>0</v>
      </c>
      <c r="M28" s="4">
        <f t="shared" si="14"/>
        <v>0</v>
      </c>
      <c r="N28" s="55"/>
      <c r="O28" s="93"/>
      <c r="P28" s="54"/>
      <c r="Q28" s="54"/>
      <c r="R28" s="54"/>
      <c r="S28" s="54"/>
      <c r="T28" s="54"/>
      <c r="U28" s="54"/>
    </row>
    <row r="29" spans="1:21" ht="14.25" thickBot="1">
      <c r="A29" s="75" t="s">
        <v>25</v>
      </c>
      <c r="B29" s="76">
        <f>SUM(B25:B28)</f>
        <v>0.20482</v>
      </c>
      <c r="C29" s="72"/>
      <c r="D29" s="72"/>
      <c r="E29" s="83" t="s">
        <v>30</v>
      </c>
      <c r="F29" s="30" t="s">
        <v>9</v>
      </c>
      <c r="G29" s="20">
        <f aca="true" t="shared" si="15" ref="G29:M30">G25+G27</f>
        <v>0</v>
      </c>
      <c r="H29" s="20">
        <f t="shared" si="15"/>
        <v>0.184338</v>
      </c>
      <c r="I29" s="20">
        <f t="shared" si="15"/>
        <v>0.29494080000000006</v>
      </c>
      <c r="J29" s="20">
        <f t="shared" si="15"/>
        <v>0.3318084</v>
      </c>
      <c r="K29" s="20">
        <f t="shared" si="15"/>
        <v>0.29494080000000006</v>
      </c>
      <c r="L29" s="20">
        <f t="shared" si="15"/>
        <v>0.18433800000000003</v>
      </c>
      <c r="M29" s="21">
        <f t="shared" si="15"/>
        <v>0</v>
      </c>
      <c r="N29" s="55"/>
      <c r="O29" s="93"/>
      <c r="P29" s="54"/>
      <c r="Q29" s="54"/>
      <c r="R29" s="54"/>
      <c r="S29" s="54"/>
      <c r="T29" s="54"/>
      <c r="U29" s="54"/>
    </row>
    <row r="30" spans="1:21" ht="14.25" thickBot="1">
      <c r="A30" s="73"/>
      <c r="B30" s="74"/>
      <c r="C30" s="74"/>
      <c r="D30" s="74"/>
      <c r="E30" s="84" t="s">
        <v>13</v>
      </c>
      <c r="F30" s="33" t="s">
        <v>11</v>
      </c>
      <c r="G30" s="20">
        <f>G26+G28</f>
        <v>0.368676</v>
      </c>
      <c r="H30" s="11">
        <f t="shared" si="15"/>
        <v>0.245784</v>
      </c>
      <c r="I30" s="11">
        <f t="shared" si="15"/>
        <v>0.122892</v>
      </c>
      <c r="J30" s="11">
        <f t="shared" si="15"/>
        <v>0</v>
      </c>
      <c r="K30" s="11">
        <f t="shared" si="15"/>
        <v>-0.122892</v>
      </c>
      <c r="L30" s="11">
        <f t="shared" si="15"/>
        <v>-0.245784</v>
      </c>
      <c r="M30" s="6">
        <f t="shared" si="15"/>
        <v>-0.368676</v>
      </c>
      <c r="O30" s="93"/>
      <c r="P30" s="54"/>
      <c r="Q30" s="54"/>
      <c r="R30" s="54"/>
      <c r="S30" s="54"/>
      <c r="T30" s="54"/>
      <c r="U30" s="54"/>
    </row>
    <row r="31" spans="1:21" ht="14.25" thickBot="1">
      <c r="A31" s="38"/>
      <c r="B31" s="5"/>
      <c r="C31" s="5"/>
      <c r="D31" s="5"/>
      <c r="E31" s="84" t="s">
        <v>29</v>
      </c>
      <c r="F31" s="33" t="s">
        <v>24</v>
      </c>
      <c r="G31" s="11">
        <v>0</v>
      </c>
      <c r="H31" s="11">
        <f>$B$29*$D$2^4/(24*$H$2*$J$2/100000000)*(H$24/$D$2-2*H$24^3/$D$2^3+H$24^4/$D$2^4)*1000</f>
        <v>0.06124013070044559</v>
      </c>
      <c r="I31" s="11">
        <f>$B$29*$D$2^4/(24*$H$2*$J$2/100000000)*(I$24/$D$2-2*I$24^3/$D$2^3+I$24^4/$D$2^4)*1000</f>
        <v>0.10515378539783829</v>
      </c>
      <c r="J31" s="11">
        <f>$B$29*$D$2^4/(24*$H$2*$J$2/100000000)*(J$24/$D$2-2*J$24^3/$D$2^3+J$24^4/$D$2^4)*1000</f>
        <v>0.12098659967649009</v>
      </c>
      <c r="K31" s="11">
        <f>$B$29*$D$2^4/(24*$H$2*$J$2/100000000)*(K$24/$D$2-2*K$24^3/$D$2^3+K$24^4/$D$2^4)*1000</f>
        <v>0.10515378539783829</v>
      </c>
      <c r="L31" s="11">
        <f>$B$29*$D$2^4/(24*$H$2*$J$2/100000000)*(L$24/$D$2-2*L$24^3/$D$2^3+L$24^4/$D$2^4)*1000</f>
        <v>0.061240130700445615</v>
      </c>
      <c r="M31" s="6">
        <v>0</v>
      </c>
      <c r="O31" s="94"/>
      <c r="P31" s="54"/>
      <c r="Q31" s="54"/>
      <c r="R31" s="54"/>
      <c r="S31" s="54"/>
      <c r="T31" s="54"/>
      <c r="U31" s="54"/>
    </row>
    <row r="32" spans="1:21" ht="14.25" thickBot="1">
      <c r="A32" s="22"/>
      <c r="B32" s="23" t="s">
        <v>17</v>
      </c>
      <c r="C32" s="23"/>
      <c r="D32" s="23"/>
      <c r="E32" s="24"/>
      <c r="F32" s="39" t="s">
        <v>9</v>
      </c>
      <c r="G32" s="25">
        <f aca="true" t="shared" si="16" ref="G32:M34">G29+G20</f>
        <v>0</v>
      </c>
      <c r="H32" s="25">
        <f t="shared" si="16"/>
        <v>4.984338</v>
      </c>
      <c r="I32" s="25">
        <f t="shared" si="16"/>
        <v>9.8949408</v>
      </c>
      <c r="J32" s="25">
        <f t="shared" si="16"/>
        <v>14.7318084</v>
      </c>
      <c r="K32" s="25">
        <f t="shared" si="16"/>
        <v>12.294940800000001</v>
      </c>
      <c r="L32" s="25">
        <f t="shared" si="16"/>
        <v>6.184338</v>
      </c>
      <c r="M32" s="26">
        <f t="shared" si="16"/>
        <v>0</v>
      </c>
      <c r="O32" s="93"/>
      <c r="P32" s="54"/>
      <c r="Q32" s="54"/>
      <c r="R32" s="54"/>
      <c r="S32" s="54"/>
      <c r="T32" s="54"/>
      <c r="U32" s="54"/>
    </row>
    <row r="33" spans="1:21" ht="14.25" thickBot="1">
      <c r="A33" s="22"/>
      <c r="B33" s="23" t="s">
        <v>18</v>
      </c>
      <c r="C33" s="23"/>
      <c r="D33" s="23"/>
      <c r="E33" s="24"/>
      <c r="F33" s="39" t="s">
        <v>10</v>
      </c>
      <c r="G33" s="25">
        <f t="shared" si="16"/>
        <v>8.368676</v>
      </c>
      <c r="H33" s="25">
        <f t="shared" si="16"/>
        <v>8.245784</v>
      </c>
      <c r="I33" s="25">
        <f t="shared" si="16"/>
        <v>8.122892</v>
      </c>
      <c r="J33" s="25">
        <f t="shared" si="16"/>
        <v>8</v>
      </c>
      <c r="K33" s="25">
        <f t="shared" si="16"/>
        <v>-10.122892</v>
      </c>
      <c r="L33" s="25">
        <f t="shared" si="16"/>
        <v>-10.245784</v>
      </c>
      <c r="M33" s="26">
        <f t="shared" si="16"/>
        <v>-10.368676</v>
      </c>
      <c r="O33" s="55"/>
      <c r="P33" s="54"/>
      <c r="Q33" s="54"/>
      <c r="R33" s="54"/>
      <c r="S33" s="54"/>
      <c r="T33" s="54"/>
      <c r="U33" s="54"/>
    </row>
    <row r="34" spans="1:21" ht="14.25" thickBot="1">
      <c r="A34" s="22"/>
      <c r="B34" s="23" t="s">
        <v>38</v>
      </c>
      <c r="C34" s="23"/>
      <c r="D34" s="23"/>
      <c r="E34" s="24"/>
      <c r="F34" s="39" t="s">
        <v>24</v>
      </c>
      <c r="G34" s="25">
        <f t="shared" si="16"/>
        <v>0</v>
      </c>
      <c r="H34" s="25">
        <f t="shared" si="16"/>
        <v>2.230641080837283</v>
      </c>
      <c r="I34" s="25">
        <f t="shared" si="16"/>
        <v>3.9772319752835084</v>
      </c>
      <c r="J34" s="25">
        <f t="shared" si="16"/>
        <v>4.762294608534983</v>
      </c>
      <c r="K34" s="25">
        <f t="shared" si="16"/>
        <v>4.167378672108252</v>
      </c>
      <c r="L34" s="25">
        <f t="shared" si="16"/>
        <v>2.384054893048156</v>
      </c>
      <c r="M34" s="26">
        <f t="shared" si="16"/>
        <v>0</v>
      </c>
      <c r="P34" s="54"/>
      <c r="Q34" s="54"/>
      <c r="R34" s="54"/>
      <c r="S34" s="54"/>
      <c r="T34" s="54"/>
      <c r="U34" s="54"/>
    </row>
    <row r="35" spans="1:21" ht="14.25" thickBot="1">
      <c r="A35" s="2"/>
      <c r="B35" s="2"/>
      <c r="C35" s="2"/>
      <c r="D35" s="2"/>
      <c r="E35" s="2"/>
      <c r="F35" s="2" t="s">
        <v>12</v>
      </c>
      <c r="G35" s="2"/>
      <c r="H35" s="2"/>
      <c r="K35" s="2"/>
      <c r="L35" s="82" t="s">
        <v>39</v>
      </c>
      <c r="M35" s="96">
        <f>1/(MAX(G34:M34)/(D2*1000))</f>
        <v>755.9381130155368</v>
      </c>
      <c r="N35" s="55"/>
      <c r="O35" s="55"/>
      <c r="P35" s="54"/>
      <c r="Q35" s="54"/>
      <c r="R35" s="54"/>
      <c r="S35" s="54"/>
      <c r="T35" s="54"/>
      <c r="U35" s="54"/>
    </row>
    <row r="36" spans="1:21" ht="1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55" t="s">
        <v>15</v>
      </c>
      <c r="N36" s="55"/>
      <c r="O36" s="55"/>
      <c r="P36" s="54"/>
      <c r="Q36" s="54"/>
      <c r="R36" s="54"/>
      <c r="S36" s="54"/>
      <c r="T36" s="54"/>
      <c r="U36" s="54"/>
    </row>
    <row r="37" spans="1:21" ht="1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 t="s">
        <v>172</v>
      </c>
      <c r="M37" s="64">
        <f>MAX(G32:M32)</f>
        <v>14.7318084</v>
      </c>
      <c r="N37" s="55"/>
      <c r="O37" s="55"/>
      <c r="P37" s="54"/>
      <c r="Q37" s="54"/>
      <c r="R37" s="54"/>
      <c r="S37" s="54"/>
      <c r="T37" s="54"/>
      <c r="U37" s="54"/>
    </row>
    <row r="38" spans="1:21" ht="1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 t="s">
        <v>171</v>
      </c>
      <c r="M38" s="64">
        <f>MAX(ABS(G33),ABS(M33))</f>
        <v>10.368676</v>
      </c>
      <c r="N38" s="55"/>
      <c r="O38" s="55"/>
      <c r="P38" s="54"/>
      <c r="Q38" s="54"/>
      <c r="R38" s="54"/>
      <c r="S38" s="54"/>
      <c r="T38" s="54"/>
      <c r="U38" s="54"/>
    </row>
    <row r="39" spans="1:21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55"/>
      <c r="O39" s="55"/>
      <c r="P39" s="54"/>
      <c r="Q39" s="54"/>
      <c r="R39" s="54"/>
      <c r="S39" s="54"/>
      <c r="T39" s="54"/>
      <c r="U39" s="54"/>
    </row>
    <row r="40" spans="1:21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5"/>
      <c r="O40" s="55"/>
      <c r="P40" s="54"/>
      <c r="Q40" s="54"/>
      <c r="R40" s="54"/>
      <c r="S40" s="54"/>
      <c r="T40" s="54"/>
      <c r="U40" s="54"/>
    </row>
    <row r="41" spans="1:21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5"/>
      <c r="O41" s="55"/>
      <c r="P41" s="54"/>
      <c r="Q41" s="54"/>
      <c r="R41" s="54"/>
      <c r="S41" s="54"/>
      <c r="T41" s="54"/>
      <c r="U41" s="54"/>
    </row>
    <row r="42" spans="1:21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5"/>
      <c r="O42" s="55"/>
      <c r="P42" s="54"/>
      <c r="Q42" s="54"/>
      <c r="R42" s="54"/>
      <c r="S42" s="54"/>
      <c r="T42" s="54"/>
      <c r="U42" s="54"/>
    </row>
    <row r="43" spans="1:2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55"/>
      <c r="O43" s="55"/>
      <c r="P43" s="54"/>
      <c r="Q43" s="54"/>
      <c r="R43" s="54"/>
      <c r="S43" s="54"/>
      <c r="T43" s="54"/>
      <c r="U43" s="54"/>
    </row>
    <row r="44" spans="1:2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55"/>
      <c r="O44" s="55"/>
      <c r="P44" s="54"/>
      <c r="Q44" s="54"/>
      <c r="R44" s="54"/>
      <c r="S44" s="54"/>
      <c r="T44" s="54"/>
      <c r="U44" s="54"/>
    </row>
    <row r="45" spans="1:2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55"/>
      <c r="O45" s="55"/>
      <c r="P45" s="54"/>
      <c r="Q45" s="54"/>
      <c r="R45" s="54"/>
      <c r="S45" s="54"/>
      <c r="T45" s="54"/>
      <c r="U45" s="54"/>
    </row>
    <row r="46" spans="1:2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55"/>
      <c r="O46" s="55"/>
      <c r="P46" s="54"/>
      <c r="Q46" s="54"/>
      <c r="R46" s="54"/>
      <c r="S46" s="54"/>
      <c r="T46" s="54"/>
      <c r="U46" s="54"/>
    </row>
    <row r="47" spans="1:2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55"/>
      <c r="O47" s="55"/>
      <c r="P47" s="54"/>
      <c r="Q47" s="54"/>
      <c r="R47" s="54"/>
      <c r="S47" s="54"/>
      <c r="T47" s="54"/>
      <c r="U47" s="54"/>
    </row>
    <row r="48" spans="1:2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55"/>
      <c r="O48" s="55"/>
      <c r="P48" s="54"/>
      <c r="Q48" s="54"/>
      <c r="R48" s="54"/>
      <c r="S48" s="54"/>
      <c r="T48" s="54"/>
      <c r="U48" s="54"/>
    </row>
    <row r="49" spans="1:2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5"/>
      <c r="O49" s="55"/>
      <c r="P49" s="54"/>
      <c r="Q49" s="54"/>
      <c r="R49" s="54"/>
      <c r="S49" s="54"/>
      <c r="T49" s="54"/>
      <c r="U49" s="54"/>
    </row>
    <row r="50" spans="1:2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55"/>
      <c r="O50" s="55"/>
      <c r="P50" s="54"/>
      <c r="Q50" s="54"/>
      <c r="R50" s="54"/>
      <c r="S50" s="54"/>
      <c r="T50" s="54"/>
      <c r="U50" s="54"/>
    </row>
    <row r="51" spans="1:2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5"/>
      <c r="O51" s="55"/>
      <c r="P51" s="54"/>
      <c r="Q51" s="54"/>
      <c r="R51" s="54"/>
      <c r="S51" s="54"/>
      <c r="T51" s="54"/>
      <c r="U51" s="54"/>
    </row>
    <row r="52" spans="1:2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5"/>
      <c r="O52" s="55"/>
      <c r="P52" s="54"/>
      <c r="Q52" s="54"/>
      <c r="R52" s="54"/>
      <c r="S52" s="54"/>
      <c r="T52" s="54"/>
      <c r="U52" s="54"/>
    </row>
    <row r="53" spans="1:2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5"/>
      <c r="O53" s="55"/>
      <c r="P53" s="54"/>
      <c r="Q53" s="54"/>
      <c r="R53" s="54"/>
      <c r="S53" s="54"/>
      <c r="T53" s="54"/>
      <c r="U53" s="54"/>
    </row>
    <row r="54" spans="1:2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5"/>
      <c r="O54" s="55"/>
      <c r="P54" s="54"/>
      <c r="Q54" s="54"/>
      <c r="R54" s="54"/>
      <c r="S54" s="54"/>
      <c r="T54" s="54"/>
      <c r="U54" s="54"/>
    </row>
    <row r="55" spans="14:21" ht="13.5">
      <c r="N55" s="55"/>
      <c r="O55" s="54"/>
      <c r="P55" s="54"/>
      <c r="Q55" s="54"/>
      <c r="R55" s="54"/>
      <c r="S55" s="54"/>
      <c r="T55" s="54"/>
      <c r="U55" s="54"/>
    </row>
    <row r="56" spans="14:21" ht="13.5">
      <c r="N56" s="55"/>
      <c r="O56" s="54"/>
      <c r="P56" s="54"/>
      <c r="Q56" s="54"/>
      <c r="R56" s="54"/>
      <c r="S56" s="54"/>
      <c r="T56" s="54"/>
      <c r="U56" s="54"/>
    </row>
    <row r="57" spans="14:21" ht="13.5">
      <c r="N57" s="55"/>
      <c r="O57" s="54"/>
      <c r="P57" s="54"/>
      <c r="Q57" s="54"/>
      <c r="R57" s="54"/>
      <c r="S57" s="54"/>
      <c r="T57" s="54"/>
      <c r="U57" s="54"/>
    </row>
    <row r="58" spans="14:21" ht="13.5">
      <c r="N58" s="55"/>
      <c r="O58" s="54"/>
      <c r="P58" s="54"/>
      <c r="Q58" s="54"/>
      <c r="R58" s="54"/>
      <c r="S58" s="54"/>
      <c r="T58" s="54"/>
      <c r="U58" s="54"/>
    </row>
    <row r="59" spans="14:21" ht="13.5">
      <c r="N59" s="55"/>
      <c r="O59" s="54"/>
      <c r="P59" s="54"/>
      <c r="Q59" s="54"/>
      <c r="R59" s="54"/>
      <c r="S59" s="54"/>
      <c r="T59" s="54"/>
      <c r="U59" s="54"/>
    </row>
    <row r="60" spans="14:21" ht="13.5">
      <c r="N60" s="55"/>
      <c r="O60" s="54"/>
      <c r="P60" s="54"/>
      <c r="Q60" s="54"/>
      <c r="R60" s="54"/>
      <c r="S60" s="54"/>
      <c r="T60" s="54"/>
      <c r="U60" s="54"/>
    </row>
    <row r="61" spans="14:21" ht="13.5">
      <c r="N61" s="55"/>
      <c r="O61" s="54"/>
      <c r="P61" s="54"/>
      <c r="Q61" s="54"/>
      <c r="R61" s="54"/>
      <c r="S61" s="54"/>
      <c r="T61" s="54"/>
      <c r="U61" s="54"/>
    </row>
    <row r="62" spans="14:21" ht="13.5">
      <c r="N62" s="55"/>
      <c r="O62" s="54"/>
      <c r="P62" s="54"/>
      <c r="Q62" s="54"/>
      <c r="R62" s="54"/>
      <c r="S62" s="54"/>
      <c r="T62" s="54"/>
      <c r="U62" s="54"/>
    </row>
    <row r="63" spans="14:21" ht="13.5">
      <c r="N63" s="55"/>
      <c r="O63" s="54"/>
      <c r="P63" s="54"/>
      <c r="Q63" s="54"/>
      <c r="R63" s="54"/>
      <c r="S63" s="54"/>
      <c r="T63" s="54"/>
      <c r="U63" s="54"/>
    </row>
    <row r="64" spans="14:21" ht="13.5">
      <c r="N64" s="54"/>
      <c r="O64" s="54"/>
      <c r="P64" s="54"/>
      <c r="Q64" s="54"/>
      <c r="R64" s="54"/>
      <c r="S64" s="54"/>
      <c r="T64" s="54"/>
      <c r="U64" s="54"/>
    </row>
    <row r="65" spans="14:21" ht="13.5">
      <c r="N65" s="54"/>
      <c r="O65" s="54"/>
      <c r="P65" s="54"/>
      <c r="Q65" s="54"/>
      <c r="R65" s="54"/>
      <c r="S65" s="54"/>
      <c r="T65" s="54"/>
      <c r="U65" s="54"/>
    </row>
    <row r="66" spans="14:21" ht="13.5">
      <c r="N66" s="54"/>
      <c r="O66" s="54"/>
      <c r="P66" s="54"/>
      <c r="Q66" s="54"/>
      <c r="R66" s="54"/>
      <c r="S66" s="54"/>
      <c r="T66" s="54"/>
      <c r="U66" s="54"/>
    </row>
    <row r="67" spans="14:21" ht="13.5">
      <c r="N67" s="54"/>
      <c r="O67" s="54"/>
      <c r="P67" s="54"/>
      <c r="Q67" s="54"/>
      <c r="R67" s="54"/>
      <c r="S67" s="54"/>
      <c r="T67" s="54"/>
      <c r="U67" s="54"/>
    </row>
    <row r="68" spans="14:21" ht="13.5">
      <c r="N68" s="54"/>
      <c r="O68" s="54"/>
      <c r="P68" s="54"/>
      <c r="Q68" s="54"/>
      <c r="R68" s="54"/>
      <c r="S68" s="54"/>
      <c r="T68" s="54"/>
      <c r="U68" s="54"/>
    </row>
    <row r="69" spans="14:21" ht="13.5">
      <c r="N69" s="54"/>
      <c r="O69" s="54"/>
      <c r="P69" s="54"/>
      <c r="Q69" s="54"/>
      <c r="R69" s="54"/>
      <c r="S69" s="54"/>
      <c r="T69" s="54"/>
      <c r="U69" s="54"/>
    </row>
    <row r="70" spans="14:21" ht="13.5">
      <c r="N70" s="54"/>
      <c r="O70" s="54"/>
      <c r="P70" s="54"/>
      <c r="Q70" s="54"/>
      <c r="R70" s="54"/>
      <c r="S70" s="54"/>
      <c r="T70" s="54"/>
      <c r="U70" s="54"/>
    </row>
    <row r="71" spans="14:21" ht="13.5">
      <c r="N71" s="54"/>
      <c r="O71" s="54"/>
      <c r="P71" s="54"/>
      <c r="Q71" s="54"/>
      <c r="R71" s="54"/>
      <c r="S71" s="54"/>
      <c r="T71" s="54"/>
      <c r="U71" s="54"/>
    </row>
    <row r="72" spans="14:21" ht="13.5">
      <c r="N72" s="54"/>
      <c r="O72" s="54"/>
      <c r="P72" s="54"/>
      <c r="Q72" s="54"/>
      <c r="R72" s="54"/>
      <c r="S72" s="54"/>
      <c r="T72" s="54"/>
      <c r="U72" s="54"/>
    </row>
    <row r="73" spans="14:21" ht="13.5">
      <c r="N73" s="54"/>
      <c r="O73" s="54"/>
      <c r="P73" s="54"/>
      <c r="Q73" s="54"/>
      <c r="R73" s="54"/>
      <c r="S73" s="54"/>
      <c r="T73" s="54"/>
      <c r="U73" s="54"/>
    </row>
    <row r="74" spans="14:21" ht="13.5">
      <c r="N74" s="54"/>
      <c r="O74" s="54"/>
      <c r="P74" s="54"/>
      <c r="Q74" s="54"/>
      <c r="R74" s="54"/>
      <c r="S74" s="54"/>
      <c r="T74" s="54"/>
      <c r="U74" s="54"/>
    </row>
    <row r="75" spans="14:21" ht="13.5">
      <c r="N75" s="54"/>
      <c r="O75" s="54"/>
      <c r="P75" s="54"/>
      <c r="Q75" s="54"/>
      <c r="R75" s="54"/>
      <c r="S75" s="54"/>
      <c r="T75" s="54"/>
      <c r="U75" s="54"/>
    </row>
    <row r="76" spans="14:21" ht="13.5">
      <c r="N76" s="54"/>
      <c r="O76" s="54"/>
      <c r="P76" s="54"/>
      <c r="Q76" s="54"/>
      <c r="R76" s="54"/>
      <c r="S76" s="54"/>
      <c r="T76" s="54"/>
      <c r="U76" s="54"/>
    </row>
    <row r="77" spans="14:21" ht="13.5">
      <c r="N77" s="54"/>
      <c r="O77" s="54"/>
      <c r="P77" s="54"/>
      <c r="Q77" s="54"/>
      <c r="R77" s="54"/>
      <c r="S77" s="54"/>
      <c r="T77" s="54"/>
      <c r="U77" s="54"/>
    </row>
    <row r="78" spans="14:21" ht="13.5">
      <c r="N78" s="54"/>
      <c r="O78" s="54"/>
      <c r="P78" s="54"/>
      <c r="Q78" s="54"/>
      <c r="R78" s="54"/>
      <c r="S78" s="54"/>
      <c r="T78" s="54"/>
      <c r="U78" s="54"/>
    </row>
    <row r="79" spans="14:21" ht="13.5">
      <c r="N79" s="54"/>
      <c r="O79" s="54"/>
      <c r="P79" s="54"/>
      <c r="Q79" s="54"/>
      <c r="R79" s="54"/>
      <c r="S79" s="54"/>
      <c r="T79" s="54"/>
      <c r="U79" s="54"/>
    </row>
    <row r="80" spans="14:21" ht="13.5">
      <c r="N80" s="54"/>
      <c r="O80" s="54"/>
      <c r="P80" s="54"/>
      <c r="Q80" s="54"/>
      <c r="R80" s="54"/>
      <c r="S80" s="54"/>
      <c r="T80" s="54"/>
      <c r="U80" s="54"/>
    </row>
    <row r="81" spans="14:21" ht="13.5">
      <c r="N81" s="54"/>
      <c r="O81" s="54"/>
      <c r="P81" s="54"/>
      <c r="Q81" s="54"/>
      <c r="R81" s="54"/>
      <c r="S81" s="54"/>
      <c r="T81" s="54"/>
      <c r="U81" s="54"/>
    </row>
    <row r="82" spans="14:21" ht="13.5">
      <c r="N82" s="54"/>
      <c r="O82" s="54"/>
      <c r="P82" s="54"/>
      <c r="Q82" s="54"/>
      <c r="R82" s="54"/>
      <c r="S82" s="54"/>
      <c r="T82" s="54"/>
      <c r="U82" s="54"/>
    </row>
    <row r="83" spans="14:21" ht="13.5">
      <c r="N83" s="54"/>
      <c r="O83" s="54"/>
      <c r="P83" s="54"/>
      <c r="Q83" s="54"/>
      <c r="R83" s="54"/>
      <c r="S83" s="54"/>
      <c r="T83" s="54"/>
      <c r="U83" s="54"/>
    </row>
    <row r="84" spans="14:21" ht="13.5">
      <c r="N84" s="54"/>
      <c r="O84" s="54"/>
      <c r="P84" s="54"/>
      <c r="Q84" s="54"/>
      <c r="R84" s="54"/>
      <c r="S84" s="54"/>
      <c r="T84" s="54"/>
      <c r="U84" s="54"/>
    </row>
    <row r="85" spans="14:21" ht="13.5">
      <c r="N85" s="54"/>
      <c r="O85" s="54"/>
      <c r="P85" s="54"/>
      <c r="Q85" s="54"/>
      <c r="R85" s="54"/>
      <c r="S85" s="54"/>
      <c r="T85" s="54"/>
      <c r="U85" s="54"/>
    </row>
    <row r="86" spans="14:21" ht="13.5">
      <c r="N86" s="54"/>
      <c r="O86" s="54"/>
      <c r="P86" s="54"/>
      <c r="Q86" s="54"/>
      <c r="R86" s="54"/>
      <c r="S86" s="54"/>
      <c r="T86" s="54"/>
      <c r="U86" s="54"/>
    </row>
    <row r="87" spans="14:21" ht="13.5">
      <c r="N87" s="54"/>
      <c r="O87" s="54"/>
      <c r="P87" s="54"/>
      <c r="Q87" s="54"/>
      <c r="R87" s="54"/>
      <c r="S87" s="54"/>
      <c r="T87" s="54"/>
      <c r="U87" s="54"/>
    </row>
    <row r="88" spans="14:21" ht="13.5">
      <c r="N88" s="54"/>
      <c r="O88" s="54"/>
      <c r="P88" s="54"/>
      <c r="Q88" s="54"/>
      <c r="R88" s="54"/>
      <c r="S88" s="54"/>
      <c r="T88" s="54"/>
      <c r="U88" s="54"/>
    </row>
    <row r="89" spans="14:21" ht="13.5">
      <c r="N89" s="54"/>
      <c r="O89" s="54"/>
      <c r="P89" s="54"/>
      <c r="Q89" s="54"/>
      <c r="R89" s="54"/>
      <c r="S89" s="54"/>
      <c r="T89" s="54"/>
      <c r="U89" s="54"/>
    </row>
    <row r="90" spans="14:21" ht="13.5">
      <c r="N90" s="54"/>
      <c r="O90" s="54"/>
      <c r="P90" s="54"/>
      <c r="Q90" s="54"/>
      <c r="R90" s="54"/>
      <c r="S90" s="54"/>
      <c r="T90" s="54"/>
      <c r="U90" s="54"/>
    </row>
    <row r="91" spans="14:21" ht="13.5">
      <c r="N91" s="54"/>
      <c r="O91" s="54"/>
      <c r="P91" s="54"/>
      <c r="Q91" s="54"/>
      <c r="R91" s="54"/>
      <c r="S91" s="54"/>
      <c r="T91" s="54"/>
      <c r="U91" s="54"/>
    </row>
    <row r="92" spans="14:21" ht="13.5">
      <c r="N92" s="54"/>
      <c r="O92" s="54"/>
      <c r="P92" s="54"/>
      <c r="Q92" s="54"/>
      <c r="R92" s="54"/>
      <c r="S92" s="54"/>
      <c r="T92" s="54"/>
      <c r="U92" s="54"/>
    </row>
    <row r="93" spans="14:21" ht="13.5">
      <c r="N93" s="54"/>
      <c r="O93" s="54"/>
      <c r="P93" s="54"/>
      <c r="Q93" s="54"/>
      <c r="R93" s="54"/>
      <c r="S93" s="54"/>
      <c r="T93" s="54"/>
      <c r="U93" s="54"/>
    </row>
    <row r="94" spans="14:21" ht="13.5">
      <c r="N94" s="54"/>
      <c r="O94" s="54"/>
      <c r="P94" s="54"/>
      <c r="Q94" s="54"/>
      <c r="R94" s="54"/>
      <c r="S94" s="54"/>
      <c r="T94" s="54"/>
      <c r="U94" s="54"/>
    </row>
    <row r="95" spans="14:21" ht="13.5">
      <c r="N95" s="54"/>
      <c r="O95" s="54"/>
      <c r="P95" s="54"/>
      <c r="Q95" s="54"/>
      <c r="R95" s="54"/>
      <c r="S95" s="54"/>
      <c r="T95" s="54"/>
      <c r="U95" s="54"/>
    </row>
    <row r="96" spans="14:21" ht="13.5">
      <c r="N96" s="54"/>
      <c r="O96" s="54"/>
      <c r="P96" s="54"/>
      <c r="Q96" s="54"/>
      <c r="R96" s="54"/>
      <c r="S96" s="54"/>
      <c r="T96" s="54"/>
      <c r="U96" s="54"/>
    </row>
    <row r="97" spans="14:21" ht="13.5">
      <c r="N97" s="54"/>
      <c r="O97" s="54"/>
      <c r="P97" s="54"/>
      <c r="Q97" s="54"/>
      <c r="R97" s="54"/>
      <c r="S97" s="54"/>
      <c r="T97" s="54"/>
      <c r="U97" s="54"/>
    </row>
    <row r="98" spans="14:21" ht="13.5">
      <c r="N98" s="54"/>
      <c r="O98" s="54"/>
      <c r="P98" s="54"/>
      <c r="Q98" s="54"/>
      <c r="R98" s="54"/>
      <c r="S98" s="54"/>
      <c r="T98" s="54"/>
      <c r="U98" s="54"/>
    </row>
    <row r="99" spans="14:21" ht="13.5">
      <c r="N99" s="54"/>
      <c r="O99" s="54"/>
      <c r="P99" s="54"/>
      <c r="Q99" s="54"/>
      <c r="R99" s="54"/>
      <c r="S99" s="54"/>
      <c r="T99" s="54"/>
      <c r="U99" s="54"/>
    </row>
    <row r="100" spans="14:21" ht="13.5">
      <c r="N100" s="54"/>
      <c r="O100" s="54"/>
      <c r="P100" s="54"/>
      <c r="Q100" s="54"/>
      <c r="R100" s="54"/>
      <c r="S100" s="54"/>
      <c r="T100" s="54"/>
      <c r="U100" s="54"/>
    </row>
    <row r="101" spans="14:21" ht="13.5">
      <c r="N101" s="54"/>
      <c r="O101" s="54"/>
      <c r="P101" s="54"/>
      <c r="Q101" s="54"/>
      <c r="R101" s="54"/>
      <c r="S101" s="54"/>
      <c r="T101" s="54"/>
      <c r="U101" s="54"/>
    </row>
    <row r="102" spans="14:21" ht="13.5">
      <c r="N102" s="54"/>
      <c r="O102" s="54"/>
      <c r="P102" s="54"/>
      <c r="Q102" s="54"/>
      <c r="R102" s="54"/>
      <c r="S102" s="54"/>
      <c r="T102" s="54"/>
      <c r="U102" s="54"/>
    </row>
    <row r="103" spans="14:21" ht="13.5">
      <c r="N103" s="54"/>
      <c r="O103" s="54"/>
      <c r="P103" s="54"/>
      <c r="Q103" s="54"/>
      <c r="R103" s="54"/>
      <c r="S103" s="54"/>
      <c r="T103" s="54"/>
      <c r="U103" s="54"/>
    </row>
    <row r="104" spans="14:21" ht="13.5">
      <c r="N104" s="54"/>
      <c r="O104" s="54"/>
      <c r="P104" s="54"/>
      <c r="Q104" s="54"/>
      <c r="R104" s="54"/>
      <c r="S104" s="54"/>
      <c r="T104" s="54"/>
      <c r="U104" s="54"/>
    </row>
    <row r="105" spans="14:21" ht="13.5">
      <c r="N105" s="54"/>
      <c r="O105" s="54"/>
      <c r="P105" s="54"/>
      <c r="Q105" s="54"/>
      <c r="R105" s="54"/>
      <c r="S105" s="54"/>
      <c r="T105" s="54"/>
      <c r="U105" s="54"/>
    </row>
    <row r="106" spans="14:21" ht="13.5">
      <c r="N106" s="54"/>
      <c r="O106" s="54"/>
      <c r="P106" s="54"/>
      <c r="Q106" s="54"/>
      <c r="R106" s="54"/>
      <c r="S106" s="54"/>
      <c r="T106" s="54"/>
      <c r="U106" s="54"/>
    </row>
    <row r="107" spans="14:21" ht="13.5">
      <c r="N107" s="54"/>
      <c r="O107" s="54"/>
      <c r="P107" s="54"/>
      <c r="Q107" s="54"/>
      <c r="R107" s="54"/>
      <c r="S107" s="54"/>
      <c r="T107" s="54"/>
      <c r="U107" s="54"/>
    </row>
    <row r="108" spans="14:21" ht="13.5">
      <c r="N108" s="54"/>
      <c r="O108" s="54"/>
      <c r="P108" s="54"/>
      <c r="Q108" s="54"/>
      <c r="R108" s="54"/>
      <c r="S108" s="54"/>
      <c r="T108" s="54"/>
      <c r="U108" s="54"/>
    </row>
    <row r="109" spans="14:21" ht="13.5">
      <c r="N109" s="54"/>
      <c r="O109" s="54"/>
      <c r="P109" s="54"/>
      <c r="Q109" s="54"/>
      <c r="R109" s="54"/>
      <c r="S109" s="54"/>
      <c r="T109" s="54"/>
      <c r="U109" s="54"/>
    </row>
    <row r="110" spans="14:21" ht="13.5">
      <c r="N110" s="54"/>
      <c r="O110" s="54"/>
      <c r="P110" s="54"/>
      <c r="Q110" s="54"/>
      <c r="R110" s="54"/>
      <c r="S110" s="54"/>
      <c r="T110" s="54"/>
      <c r="U110" s="54"/>
    </row>
    <row r="111" spans="14:21" ht="13.5">
      <c r="N111" s="54"/>
      <c r="O111" s="54"/>
      <c r="P111" s="54"/>
      <c r="Q111" s="54"/>
      <c r="R111" s="54"/>
      <c r="S111" s="54"/>
      <c r="T111" s="54"/>
      <c r="U111" s="54"/>
    </row>
  </sheetData>
  <mergeCells count="2">
    <mergeCell ref="B1:D1"/>
    <mergeCell ref="J2:K2"/>
  </mergeCells>
  <printOptions/>
  <pageMargins left="0.75" right="0.75" top="1" bottom="1" header="0.512" footer="0.51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18"/>
  <sheetViews>
    <sheetView workbookViewId="0" topLeftCell="A10">
      <selection activeCell="B8" sqref="B8"/>
    </sheetView>
  </sheetViews>
  <sheetFormatPr defaultColWidth="8.796875" defaultRowHeight="14.25"/>
  <cols>
    <col min="8" max="8" width="9.3984375" style="0" customWidth="1"/>
    <col min="9" max="9" width="8.19921875" style="0" customWidth="1"/>
    <col min="12" max="12" width="12.69921875" style="0" bestFit="1" customWidth="1"/>
    <col min="14" max="14" width="10.5" style="0" customWidth="1"/>
    <col min="15" max="15" width="13.19921875" style="0" customWidth="1"/>
  </cols>
  <sheetData>
    <row r="1" spans="1:28" ht="15" thickBot="1">
      <c r="A1" s="100" t="s">
        <v>40</v>
      </c>
      <c r="B1" s="100"/>
      <c r="C1" s="100" t="s">
        <v>41</v>
      </c>
      <c r="D1" s="100" t="s">
        <v>42</v>
      </c>
      <c r="E1" s="101" t="s">
        <v>43</v>
      </c>
      <c r="F1" s="102"/>
      <c r="G1" s="100"/>
      <c r="H1" s="100"/>
      <c r="I1" s="100"/>
      <c r="J1" s="55"/>
      <c r="K1" s="55" t="s">
        <v>44</v>
      </c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ht="14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</row>
    <row r="3" spans="1:31" ht="14.25">
      <c r="A3" s="103" t="s">
        <v>45</v>
      </c>
      <c r="B3" s="104" t="s">
        <v>46</v>
      </c>
      <c r="C3" s="105" t="s">
        <v>47</v>
      </c>
      <c r="D3" s="106"/>
      <c r="E3" s="107" t="s">
        <v>48</v>
      </c>
      <c r="F3" s="107" t="s">
        <v>49</v>
      </c>
      <c r="G3" s="107" t="s">
        <v>50</v>
      </c>
      <c r="H3" s="107" t="s">
        <v>51</v>
      </c>
      <c r="I3" s="108" t="s">
        <v>52</v>
      </c>
      <c r="J3" s="109" t="s">
        <v>53</v>
      </c>
      <c r="K3" s="109" t="s">
        <v>54</v>
      </c>
      <c r="L3" s="109" t="s">
        <v>55</v>
      </c>
      <c r="M3" s="109"/>
      <c r="N3" s="109" t="s">
        <v>56</v>
      </c>
      <c r="O3" s="109"/>
      <c r="P3" s="109" t="s">
        <v>57</v>
      </c>
      <c r="Q3" s="109"/>
      <c r="R3" s="109" t="s">
        <v>58</v>
      </c>
      <c r="S3" s="109" t="s">
        <v>59</v>
      </c>
      <c r="T3" s="55"/>
      <c r="U3" s="55"/>
      <c r="V3" s="55"/>
      <c r="W3" s="55"/>
      <c r="X3" s="55"/>
      <c r="Y3" s="55"/>
      <c r="Z3" s="55"/>
      <c r="AA3" s="55"/>
      <c r="AB3" s="55"/>
      <c r="AC3" s="2"/>
      <c r="AD3" s="2"/>
      <c r="AE3" s="2"/>
    </row>
    <row r="4" spans="1:31" ht="14.25">
      <c r="A4" s="110"/>
      <c r="B4" s="111" t="s">
        <v>60</v>
      </c>
      <c r="C4" s="112">
        <v>235</v>
      </c>
      <c r="D4" s="113" t="s">
        <v>61</v>
      </c>
      <c r="E4" s="114" t="s">
        <v>62</v>
      </c>
      <c r="F4" s="114" t="s">
        <v>62</v>
      </c>
      <c r="G4" s="114" t="s">
        <v>62</v>
      </c>
      <c r="H4" s="114" t="s">
        <v>62</v>
      </c>
      <c r="I4" s="115" t="s">
        <v>62</v>
      </c>
      <c r="J4" s="116" t="s">
        <v>63</v>
      </c>
      <c r="K4" s="116" t="s">
        <v>64</v>
      </c>
      <c r="L4" s="116" t="s">
        <v>65</v>
      </c>
      <c r="M4" s="116" t="s">
        <v>65</v>
      </c>
      <c r="N4" s="116" t="s">
        <v>66</v>
      </c>
      <c r="O4" s="116" t="s">
        <v>66</v>
      </c>
      <c r="P4" s="116" t="s">
        <v>67</v>
      </c>
      <c r="Q4" s="116" t="s">
        <v>67</v>
      </c>
      <c r="R4" s="116"/>
      <c r="S4" s="116"/>
      <c r="T4" s="55"/>
      <c r="U4" s="55"/>
      <c r="V4" s="55"/>
      <c r="W4" s="55"/>
      <c r="X4" s="55"/>
      <c r="Y4" s="55"/>
      <c r="Z4" s="55"/>
      <c r="AA4" s="55"/>
      <c r="AB4" s="55"/>
      <c r="AC4" s="2"/>
      <c r="AD4" s="2"/>
      <c r="AE4" s="2"/>
    </row>
    <row r="5" spans="1:31" ht="14.25">
      <c r="A5" s="117"/>
      <c r="B5" s="118" t="s">
        <v>173</v>
      </c>
      <c r="C5" s="192"/>
      <c r="D5" s="193"/>
      <c r="E5" s="194">
        <v>200</v>
      </c>
      <c r="F5" s="194">
        <v>100</v>
      </c>
      <c r="G5" s="194">
        <v>5.5</v>
      </c>
      <c r="H5" s="194">
        <v>8</v>
      </c>
      <c r="I5" s="195">
        <v>8</v>
      </c>
      <c r="J5" s="119">
        <f>(F5*H5*2+(E5-H5*2)*G5+(4-PI())*I5^2)/100</f>
        <v>26.66938070170253</v>
      </c>
      <c r="K5" s="120">
        <f>J5*7.85*100/1000</f>
        <v>20.935463850836484</v>
      </c>
      <c r="L5" s="121">
        <f>(F5*E5^3/12-(F5-G5)*(E5-2*H5)^3/12+(0.008077*I5^4+0.2146*I5^2*((E5-2*H5)/2-0.17365*I5)^2)*4)/10000</f>
        <v>1806.051011566428</v>
      </c>
      <c r="M5" s="121">
        <f>(H5*F5^3/12*2+(E5-2*H5)*G5^3/12+(0.008077*I5^4+0.2146*I5^2*(G5/2+0.17365*I5)^2)*4)/10000</f>
        <v>133.69579948521243</v>
      </c>
      <c r="N5" s="119">
        <f>SQRT(L5/J5)</f>
        <v>8.22921749862445</v>
      </c>
      <c r="O5" s="119">
        <f>SQRT(M5/J5)</f>
        <v>2.238991350510596</v>
      </c>
      <c r="P5" s="121">
        <f>L5/(E5/20)</f>
        <v>180.6051011566428</v>
      </c>
      <c r="Q5" s="121">
        <f>M5/(F5/20)</f>
        <v>26.739159897042487</v>
      </c>
      <c r="R5" s="119">
        <f>SQRT((H5*F5^3/12+(E5/6-H5)*G5^3/12+(0.008077*I5^4+0.2146*I5^2*(G5/2+0.1736*I5)^2)*2)/(F5*H5+(E5/6-H5)*G5+(0.2146*I5^2)*2))/10</f>
        <v>2.6276928341651637</v>
      </c>
      <c r="S5" s="119">
        <f>R5*E5/10/(F5*H5/100)</f>
        <v>6.569232085412909</v>
      </c>
      <c r="T5" s="55"/>
      <c r="U5" s="55"/>
      <c r="V5" s="55"/>
      <c r="W5" s="55"/>
      <c r="X5" s="55"/>
      <c r="Y5" s="55"/>
      <c r="Z5" s="55"/>
      <c r="AA5" s="55"/>
      <c r="AB5" s="55"/>
      <c r="AC5" s="2"/>
      <c r="AD5" s="2"/>
      <c r="AE5" s="2"/>
    </row>
    <row r="6" spans="1:31" ht="14.2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2"/>
      <c r="AD6" s="2"/>
      <c r="AE6" s="2"/>
    </row>
    <row r="7" spans="1:31" ht="14.25">
      <c r="A7" s="55" t="s">
        <v>68</v>
      </c>
      <c r="B7" s="122">
        <v>360</v>
      </c>
      <c r="C7" s="55" t="s">
        <v>69</v>
      </c>
      <c r="D7" s="55" t="s">
        <v>70</v>
      </c>
      <c r="E7" s="123">
        <v>1</v>
      </c>
      <c r="F7" s="55" t="s">
        <v>71</v>
      </c>
      <c r="G7" s="55"/>
      <c r="H7" s="124">
        <f>N13</f>
        <v>180</v>
      </c>
      <c r="I7" s="55" t="s">
        <v>72</v>
      </c>
      <c r="J7" s="55"/>
      <c r="K7" s="55"/>
      <c r="L7" s="103" t="s">
        <v>73</v>
      </c>
      <c r="M7" s="103" t="s">
        <v>74</v>
      </c>
      <c r="N7" s="103" t="s">
        <v>75</v>
      </c>
      <c r="O7" s="103" t="s">
        <v>76</v>
      </c>
      <c r="P7" s="103" t="s">
        <v>77</v>
      </c>
      <c r="Q7" s="104" t="s">
        <v>78</v>
      </c>
      <c r="R7" s="106"/>
      <c r="S7" s="103" t="s">
        <v>79</v>
      </c>
      <c r="T7" s="55"/>
      <c r="U7" s="55"/>
      <c r="V7" s="55"/>
      <c r="W7" s="55"/>
      <c r="X7" s="55"/>
      <c r="Y7" s="55"/>
      <c r="Z7" s="55"/>
      <c r="AA7" s="55"/>
      <c r="AB7" s="55"/>
      <c r="AC7" s="2"/>
      <c r="AD7" s="2"/>
      <c r="AE7" s="2"/>
    </row>
    <row r="8" spans="1:31" ht="14.25">
      <c r="A8" s="55" t="s">
        <v>80</v>
      </c>
      <c r="B8" s="125"/>
      <c r="C8" s="55" t="s">
        <v>81</v>
      </c>
      <c r="D8" s="55" t="s">
        <v>82</v>
      </c>
      <c r="E8" s="189">
        <f>'多荷重自由端（長期）'!M37*100000</f>
        <v>833180.84</v>
      </c>
      <c r="F8" s="55" t="s">
        <v>83</v>
      </c>
      <c r="G8" s="55" t="s">
        <v>84</v>
      </c>
      <c r="H8" s="189">
        <f>'多荷重自由端（長期）'!M38*1000</f>
        <v>5924.231555555555</v>
      </c>
      <c r="I8" s="55" t="s">
        <v>85</v>
      </c>
      <c r="J8" s="55"/>
      <c r="K8" s="55"/>
      <c r="L8" s="110" t="s">
        <v>86</v>
      </c>
      <c r="M8" s="110" t="s">
        <v>87</v>
      </c>
      <c r="N8" s="126" t="s">
        <v>88</v>
      </c>
      <c r="O8" s="126" t="s">
        <v>88</v>
      </c>
      <c r="P8" s="110"/>
      <c r="Q8" s="111" t="s">
        <v>89</v>
      </c>
      <c r="R8" s="113"/>
      <c r="S8" s="116" t="s">
        <v>90</v>
      </c>
      <c r="T8" s="55"/>
      <c r="U8" s="55"/>
      <c r="V8" s="55"/>
      <c r="W8" s="55"/>
      <c r="X8" s="55"/>
      <c r="Y8" s="55"/>
      <c r="Z8" s="55"/>
      <c r="AA8" s="55"/>
      <c r="AB8" s="55"/>
      <c r="AC8" s="2"/>
      <c r="AD8" s="2"/>
      <c r="AE8" s="2"/>
    </row>
    <row r="9" spans="1:31" ht="14.25">
      <c r="A9" s="93"/>
      <c r="B9" s="127"/>
      <c r="C9" s="93" t="s">
        <v>91</v>
      </c>
      <c r="D9" s="55" t="s">
        <v>82</v>
      </c>
      <c r="E9" s="125"/>
      <c r="F9" s="55" t="s">
        <v>83</v>
      </c>
      <c r="G9" s="93"/>
      <c r="H9" s="127"/>
      <c r="I9" s="93"/>
      <c r="J9" s="55"/>
      <c r="K9" s="55"/>
      <c r="L9" s="121">
        <f>(E5-H5)^2*M5/4/100</f>
        <v>12321.404880557177</v>
      </c>
      <c r="M9" s="128">
        <f>(2*F5*H5^3+(E5-H5)*G5^3)/3/10000</f>
        <v>4.478133333333334</v>
      </c>
      <c r="N9" s="129">
        <f>P5*C4*1000/10</f>
        <v>4244219.877181106</v>
      </c>
      <c r="O9" s="129">
        <f>N18*SQRT((PI()^4*205000*M5*10000*205000*L9*1000000/(N13*10)^4)+(PI()^2*205000*M5*10000*79000*M9*10000)/(N13*10)^2)/10</f>
        <v>9683717.626579486</v>
      </c>
      <c r="P9" s="119">
        <f>SQRT(N9/O9)</f>
        <v>0.662030318492768</v>
      </c>
      <c r="Q9" s="130">
        <f>1/SQRT(0.6)</f>
        <v>1.2909944487358056</v>
      </c>
      <c r="R9" s="131"/>
      <c r="S9" s="132">
        <f>(E5-2*(H5+I5))*G5</f>
        <v>924</v>
      </c>
      <c r="T9" s="55"/>
      <c r="U9" s="55"/>
      <c r="V9" s="55"/>
      <c r="W9" s="55"/>
      <c r="X9" s="55"/>
      <c r="Y9" s="55"/>
      <c r="Z9" s="55"/>
      <c r="AA9" s="55"/>
      <c r="AB9" s="55"/>
      <c r="AC9" s="2"/>
      <c r="AD9" s="2"/>
      <c r="AE9" s="2"/>
    </row>
    <row r="10" spans="1:31" ht="14.25">
      <c r="A10" s="93" t="s">
        <v>92</v>
      </c>
      <c r="B10" s="127"/>
      <c r="C10" s="55"/>
      <c r="D10" s="93"/>
      <c r="E10" s="127"/>
      <c r="F10" s="93"/>
      <c r="G10" s="93"/>
      <c r="H10" s="133"/>
      <c r="I10" s="93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2"/>
      <c r="AD10" s="2"/>
      <c r="AE10" s="2"/>
    </row>
    <row r="11" spans="1:31" ht="14.25">
      <c r="A11" s="93"/>
      <c r="B11" s="93"/>
      <c r="C11" s="134" t="s">
        <v>93</v>
      </c>
      <c r="D11" s="93"/>
      <c r="E11" s="93"/>
      <c r="F11" s="93"/>
      <c r="G11" s="93"/>
      <c r="H11" s="135" t="str">
        <f>IF(P9&lt;=N19,C4/N20,"該当しない")</f>
        <v>該当しない</v>
      </c>
      <c r="I11" s="93" t="s">
        <v>94</v>
      </c>
      <c r="J11" s="55"/>
      <c r="K11" s="55"/>
      <c r="L11" s="136"/>
      <c r="M11" s="55"/>
      <c r="N11" s="55"/>
      <c r="O11" s="55"/>
      <c r="P11" s="55" t="s">
        <v>95</v>
      </c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2"/>
      <c r="AD11" s="2"/>
      <c r="AE11" s="2"/>
    </row>
    <row r="12" spans="1:31" ht="14.25">
      <c r="A12" s="93" t="s">
        <v>96</v>
      </c>
      <c r="B12" s="93"/>
      <c r="C12" s="93"/>
      <c r="D12" s="93"/>
      <c r="E12" s="127"/>
      <c r="F12" s="93"/>
      <c r="G12" s="93"/>
      <c r="H12" s="133"/>
      <c r="I12" s="93"/>
      <c r="J12" s="55"/>
      <c r="K12" s="55"/>
      <c r="L12" s="55"/>
      <c r="M12" s="55"/>
      <c r="N12" s="55"/>
      <c r="O12" s="55"/>
      <c r="P12" s="55"/>
      <c r="Q12" s="55"/>
      <c r="R12" s="55"/>
      <c r="S12" s="55" t="s">
        <v>97</v>
      </c>
      <c r="T12" s="55"/>
      <c r="U12" s="55"/>
      <c r="V12" s="55"/>
      <c r="W12" s="55"/>
      <c r="X12" s="55"/>
      <c r="Y12" s="55"/>
      <c r="Z12" s="55"/>
      <c r="AA12" s="55"/>
      <c r="AB12" s="55"/>
      <c r="AC12" s="2"/>
      <c r="AD12" s="2"/>
      <c r="AE12" s="2"/>
    </row>
    <row r="13" spans="1:31" ht="14.25">
      <c r="A13" s="93"/>
      <c r="B13" s="93"/>
      <c r="C13" s="93" t="s">
        <v>98</v>
      </c>
      <c r="D13" s="93"/>
      <c r="E13" s="93"/>
      <c r="F13" s="93"/>
      <c r="G13" s="93"/>
      <c r="H13" s="135">
        <f>IF(P9&gt;N19,IF(P9&lt;=Q9,(1-0.4*(P9-N19)/(Q9-N19))*C4/N20,"該当しない"),"該当しない")</f>
        <v>119.77452560836794</v>
      </c>
      <c r="I13" s="93" t="s">
        <v>99</v>
      </c>
      <c r="J13" s="55"/>
      <c r="K13" s="55" t="s">
        <v>100</v>
      </c>
      <c r="L13" s="55"/>
      <c r="M13" s="55"/>
      <c r="N13" s="125">
        <v>180</v>
      </c>
      <c r="O13" s="55" t="s">
        <v>101</v>
      </c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2"/>
      <c r="AD13" s="2"/>
      <c r="AE13" s="2"/>
    </row>
    <row r="14" spans="1:31" ht="14.25">
      <c r="A14" s="137" t="s">
        <v>102</v>
      </c>
      <c r="B14" s="94"/>
      <c r="C14" s="93"/>
      <c r="D14" s="134"/>
      <c r="E14" s="138"/>
      <c r="F14" s="93"/>
      <c r="G14" s="134"/>
      <c r="H14" s="133"/>
      <c r="I14" s="93"/>
      <c r="J14" s="55"/>
      <c r="K14" s="55" t="s">
        <v>103</v>
      </c>
      <c r="L14" s="55"/>
      <c r="M14" s="55"/>
      <c r="N14" s="125"/>
      <c r="O14" s="55" t="s">
        <v>104</v>
      </c>
      <c r="P14" s="55"/>
      <c r="Q14" s="55"/>
      <c r="R14" s="55"/>
      <c r="S14" s="139">
        <v>1</v>
      </c>
      <c r="T14" s="55"/>
      <c r="U14" s="55"/>
      <c r="V14" s="55"/>
      <c r="W14" s="55"/>
      <c r="X14" s="55"/>
      <c r="Y14" s="55"/>
      <c r="Z14" s="55"/>
      <c r="AA14" s="55"/>
      <c r="AB14" s="55"/>
      <c r="AC14" s="2"/>
      <c r="AD14" s="2"/>
      <c r="AE14" s="2"/>
    </row>
    <row r="15" spans="1:31" ht="14.25">
      <c r="A15" s="134"/>
      <c r="B15" s="94"/>
      <c r="C15" s="93" t="s">
        <v>105</v>
      </c>
      <c r="D15" s="134"/>
      <c r="E15" s="138"/>
      <c r="F15" s="93"/>
      <c r="G15" s="93"/>
      <c r="H15" s="140" t="str">
        <f>IF(P9&gt;Q9,1/(P9)^2*C4/2.17,"該当しない")</f>
        <v>該当しない</v>
      </c>
      <c r="I15" s="93" t="s">
        <v>106</v>
      </c>
      <c r="J15" s="55"/>
      <c r="K15" s="55" t="s">
        <v>107</v>
      </c>
      <c r="L15" s="55"/>
      <c r="M15" s="55"/>
      <c r="N15" s="125"/>
      <c r="O15" s="55" t="s">
        <v>104</v>
      </c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2"/>
      <c r="AD15" s="2"/>
      <c r="AE15" s="2"/>
    </row>
    <row r="16" spans="1:31" ht="14.25">
      <c r="A16" s="93"/>
      <c r="B16" s="93"/>
      <c r="C16" s="93"/>
      <c r="D16" s="93"/>
      <c r="E16" s="93"/>
      <c r="F16" s="93"/>
      <c r="G16" s="93"/>
      <c r="H16" s="93"/>
      <c r="I16" s="93"/>
      <c r="J16" s="55"/>
      <c r="K16" s="55" t="s">
        <v>108</v>
      </c>
      <c r="L16" s="55"/>
      <c r="M16" s="55"/>
      <c r="N16" s="125">
        <v>3</v>
      </c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2"/>
      <c r="AD16" s="2"/>
      <c r="AE16" s="2"/>
    </row>
    <row r="17" spans="1:31" ht="14.25">
      <c r="A17" s="141" t="s">
        <v>109</v>
      </c>
      <c r="B17" s="141"/>
      <c r="C17" s="55"/>
      <c r="D17" s="55" t="s">
        <v>110</v>
      </c>
      <c r="E17" s="55"/>
      <c r="F17" s="55"/>
      <c r="G17" s="55" t="s">
        <v>111</v>
      </c>
      <c r="H17" s="55"/>
      <c r="I17" s="55"/>
      <c r="J17" s="55"/>
      <c r="K17" s="55" t="s">
        <v>112</v>
      </c>
      <c r="L17" s="55"/>
      <c r="M17" s="55"/>
      <c r="N17" s="142">
        <f>IF(N14=0,IF(N16=3,1,1),IF(N16=3,1,1.75+N16*ABS(N15/N14)*1.05+0.3*(N15/N14)^2))</f>
        <v>1</v>
      </c>
      <c r="O17" s="55"/>
      <c r="P17" s="55"/>
      <c r="Q17" s="55"/>
      <c r="R17" s="55"/>
      <c r="S17" s="139">
        <v>-1</v>
      </c>
      <c r="T17" s="55"/>
      <c r="U17" s="55"/>
      <c r="V17" s="55"/>
      <c r="W17" s="55"/>
      <c r="X17" s="55"/>
      <c r="Y17" s="55"/>
      <c r="Z17" s="55"/>
      <c r="AA17" s="55"/>
      <c r="AB17" s="55"/>
      <c r="AC17" s="2"/>
      <c r="AD17" s="2"/>
      <c r="AE17" s="2"/>
    </row>
    <row r="18" spans="1:31" ht="14.25">
      <c r="A18" s="134" t="s">
        <v>113</v>
      </c>
      <c r="B18" s="143">
        <f>P28</f>
        <v>36.13116419027254</v>
      </c>
      <c r="C18" s="144" t="s">
        <v>114</v>
      </c>
      <c r="D18" s="145" t="s">
        <v>115</v>
      </c>
      <c r="E18" s="135">
        <f>MAX(H11:H15)</f>
        <v>119.77452560836794</v>
      </c>
      <c r="F18" s="144" t="s">
        <v>116</v>
      </c>
      <c r="G18" s="145" t="s">
        <v>117</v>
      </c>
      <c r="H18" s="135">
        <f>C4/1.5/SQRT(3)</f>
        <v>90.45154217304137</v>
      </c>
      <c r="I18" s="55" t="s">
        <v>116</v>
      </c>
      <c r="J18" s="55"/>
      <c r="K18" s="55" t="s">
        <v>118</v>
      </c>
      <c r="L18" s="55"/>
      <c r="M18" s="55"/>
      <c r="N18" s="142">
        <f>IF(N17&gt;=2.3,2.3,N17)</f>
        <v>1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2"/>
      <c r="AD18" s="2"/>
      <c r="AE18" s="2"/>
    </row>
    <row r="19" spans="1:31" ht="14.25">
      <c r="A19" s="141"/>
      <c r="B19" s="146"/>
      <c r="C19" s="144"/>
      <c r="D19" s="145" t="s">
        <v>119</v>
      </c>
      <c r="E19" s="135">
        <f>C4/1.5</f>
        <v>156.66666666666666</v>
      </c>
      <c r="F19" s="144" t="s">
        <v>120</v>
      </c>
      <c r="G19" s="144"/>
      <c r="H19" s="133"/>
      <c r="I19" s="55"/>
      <c r="J19" s="55"/>
      <c r="K19" s="93" t="s">
        <v>121</v>
      </c>
      <c r="L19" s="93"/>
      <c r="M19" s="93"/>
      <c r="N19" s="142">
        <f>IF(N14=0,IF(N16=3,0.3,0.3),IF(N16=3,0.3,0.6+0.3*ABS(N15/N14)*N16))</f>
        <v>0.3</v>
      </c>
      <c r="O19" s="93"/>
      <c r="P19" s="55" t="s">
        <v>122</v>
      </c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2"/>
      <c r="AD19" s="2"/>
      <c r="AE19" s="2"/>
    </row>
    <row r="20" spans="1:31" ht="14.25">
      <c r="A20" s="141" t="s">
        <v>123</v>
      </c>
      <c r="B20" s="146"/>
      <c r="C20" s="146"/>
      <c r="D20" s="146"/>
      <c r="E20" s="146"/>
      <c r="F20" s="146"/>
      <c r="G20" s="146"/>
      <c r="H20" s="146"/>
      <c r="I20" s="141"/>
      <c r="J20" s="93"/>
      <c r="K20" s="93" t="s">
        <v>124</v>
      </c>
      <c r="L20" s="93"/>
      <c r="M20" s="93"/>
      <c r="N20" s="142">
        <f>IF(N13=0,1.5,3/2+2/3*(P9/Q9)^2)</f>
        <v>1.6753136570414544</v>
      </c>
      <c r="O20" s="93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2"/>
      <c r="AD20" s="2"/>
      <c r="AE20" s="2"/>
    </row>
    <row r="21" spans="1:31" ht="14.25">
      <c r="A21" s="134" t="s">
        <v>125</v>
      </c>
      <c r="B21" s="143">
        <f>B8/(J5*100)</f>
        <v>0</v>
      </c>
      <c r="C21" s="144" t="s">
        <v>126</v>
      </c>
      <c r="D21" s="146" t="s">
        <v>127</v>
      </c>
      <c r="E21" s="143">
        <f>E8/P5/100</f>
        <v>46.13274124950456</v>
      </c>
      <c r="F21" s="144" t="s">
        <v>128</v>
      </c>
      <c r="G21" s="147" t="s">
        <v>129</v>
      </c>
      <c r="H21" s="143">
        <f>H8/S9</f>
        <v>6.411506012506012</v>
      </c>
      <c r="I21" s="93" t="s">
        <v>128</v>
      </c>
      <c r="J21" s="93"/>
      <c r="K21" s="93"/>
      <c r="L21" s="93"/>
      <c r="M21" s="93"/>
      <c r="N21" s="93"/>
      <c r="O21" s="93"/>
      <c r="P21" s="55"/>
      <c r="Q21" s="55"/>
      <c r="R21" s="55"/>
      <c r="S21" s="139">
        <v>3</v>
      </c>
      <c r="T21" s="55"/>
      <c r="U21" s="55"/>
      <c r="V21" s="55"/>
      <c r="W21" s="55"/>
      <c r="X21" s="55"/>
      <c r="Y21" s="55"/>
      <c r="Z21" s="55"/>
      <c r="AA21" s="55"/>
      <c r="AB21" s="55"/>
      <c r="AC21" s="2"/>
      <c r="AD21" s="2"/>
      <c r="AE21" s="2"/>
    </row>
    <row r="22" spans="1:31" ht="14.25">
      <c r="A22" s="148"/>
      <c r="B22" s="149"/>
      <c r="C22" s="149"/>
      <c r="D22" s="149" t="s">
        <v>130</v>
      </c>
      <c r="E22" s="143">
        <f>E9/Q5/100</f>
        <v>0</v>
      </c>
      <c r="F22" s="144" t="s">
        <v>128</v>
      </c>
      <c r="G22" s="149"/>
      <c r="H22" s="149"/>
      <c r="I22" s="148"/>
      <c r="J22" s="93"/>
      <c r="K22" s="54" t="s">
        <v>131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55"/>
      <c r="X22" s="55"/>
      <c r="Y22" s="55"/>
      <c r="Z22" s="55"/>
      <c r="AA22" s="55"/>
      <c r="AB22" s="55"/>
      <c r="AC22" s="2"/>
      <c r="AD22" s="2"/>
      <c r="AE22" s="2"/>
    </row>
    <row r="23" spans="1:31" ht="14.25">
      <c r="A23" s="148"/>
      <c r="B23" s="148"/>
      <c r="C23" s="148"/>
      <c r="D23" s="148"/>
      <c r="E23" s="148"/>
      <c r="F23" s="148"/>
      <c r="G23" s="148"/>
      <c r="H23" s="148"/>
      <c r="I23" s="148"/>
      <c r="J23" s="55"/>
      <c r="K23" s="54"/>
      <c r="L23" s="150" t="s">
        <v>132</v>
      </c>
      <c r="M23" s="151">
        <f>B7*E7/O5</f>
        <v>160.7866863433407</v>
      </c>
      <c r="N23" s="152" t="s">
        <v>133</v>
      </c>
      <c r="O23" s="152"/>
      <c r="P23" s="152"/>
      <c r="Q23" s="54" t="s">
        <v>134</v>
      </c>
      <c r="R23" s="55"/>
      <c r="S23" s="55"/>
      <c r="T23" s="55"/>
      <c r="U23" s="93"/>
      <c r="V23" s="55"/>
      <c r="W23" s="55"/>
      <c r="X23" s="55"/>
      <c r="Y23" s="55"/>
      <c r="Z23" s="55"/>
      <c r="AA23" s="55"/>
      <c r="AB23" s="55"/>
      <c r="AC23" s="2"/>
      <c r="AD23" s="2"/>
      <c r="AE23" s="2"/>
    </row>
    <row r="24" spans="1:31" ht="14.25">
      <c r="A24" s="148" t="s">
        <v>135</v>
      </c>
      <c r="B24" s="55" t="s">
        <v>136</v>
      </c>
      <c r="C24" s="55" t="s">
        <v>137</v>
      </c>
      <c r="D24" s="55"/>
      <c r="E24" s="55"/>
      <c r="F24" s="153">
        <f>E21/E18+E22/E19+B21/B18</f>
        <v>0.38516321409067256</v>
      </c>
      <c r="G24" s="154" t="str">
        <f>IF(F24&lt;=1,"≦","＞")</f>
        <v>≦</v>
      </c>
      <c r="H24" s="155">
        <v>1</v>
      </c>
      <c r="I24" s="152" t="str">
        <f>IF(F24&lt;=1,"OK","ＮＧ")</f>
        <v>OK</v>
      </c>
      <c r="J24" s="93"/>
      <c r="K24" s="54"/>
      <c r="L24" s="93" t="s">
        <v>138</v>
      </c>
      <c r="M24" s="156"/>
      <c r="N24" s="152"/>
      <c r="O24" s="152"/>
      <c r="P24" s="152"/>
      <c r="Q24" s="152"/>
      <c r="R24" s="152"/>
      <c r="S24" s="152"/>
      <c r="T24" s="55"/>
      <c r="U24" s="157"/>
      <c r="V24" s="55"/>
      <c r="W24" s="55"/>
      <c r="X24" s="55"/>
      <c r="Y24" s="55"/>
      <c r="Z24" s="55"/>
      <c r="AA24" s="55"/>
      <c r="AB24" s="55"/>
      <c r="AC24" s="2"/>
      <c r="AD24" s="2"/>
      <c r="AE24" s="2"/>
    </row>
    <row r="25" spans="1:31" ht="14.25">
      <c r="A25" s="148"/>
      <c r="B25" s="55" t="s">
        <v>139</v>
      </c>
      <c r="C25" s="152" t="s">
        <v>140</v>
      </c>
      <c r="D25" s="55"/>
      <c r="E25" s="55"/>
      <c r="F25" s="153">
        <f>(E21+E22-B21)/(C4/1.5)</f>
        <v>0.29446430584790145</v>
      </c>
      <c r="G25" s="154" t="str">
        <f>IF(F25&lt;=1,"≦","＞")</f>
        <v>≦</v>
      </c>
      <c r="H25" s="155">
        <v>1</v>
      </c>
      <c r="I25" s="152" t="str">
        <f>IF(F25&lt;=1,"OK","ＮＧ")</f>
        <v>OK</v>
      </c>
      <c r="J25" s="93"/>
      <c r="K25" s="54"/>
      <c r="L25" s="152" t="s">
        <v>141</v>
      </c>
      <c r="M25" s="152"/>
      <c r="N25" s="158">
        <f>SQRT(PI()^2*205000/0.6/C4)</f>
        <v>119.78908480518268</v>
      </c>
      <c r="O25" s="152"/>
      <c r="P25" s="152" t="s">
        <v>142</v>
      </c>
      <c r="Q25" s="152"/>
      <c r="R25" s="159">
        <f>1.5+2/3*(M23/N25)^2</f>
        <v>2.7010868633552136</v>
      </c>
      <c r="S25" s="152"/>
      <c r="T25" s="55"/>
      <c r="U25" s="93"/>
      <c r="V25" s="55"/>
      <c r="W25" s="55"/>
      <c r="X25" s="55"/>
      <c r="Y25" s="55"/>
      <c r="Z25" s="55"/>
      <c r="AA25" s="55"/>
      <c r="AB25" s="55"/>
      <c r="AC25" s="2"/>
      <c r="AD25" s="2"/>
      <c r="AE25" s="2"/>
    </row>
    <row r="26" spans="1:31" ht="14.25">
      <c r="A26" s="148"/>
      <c r="B26" s="55" t="s">
        <v>143</v>
      </c>
      <c r="C26" s="55" t="s">
        <v>144</v>
      </c>
      <c r="D26" s="55"/>
      <c r="E26" s="55"/>
      <c r="F26" s="153">
        <f>H21/H18</f>
        <v>0.07088332446825799</v>
      </c>
      <c r="G26" s="154" t="str">
        <f>IF(F26&lt;=1,"≦","＞")</f>
        <v>≦</v>
      </c>
      <c r="H26" s="155">
        <v>1</v>
      </c>
      <c r="I26" s="152" t="str">
        <f>IF(F26&lt;=1,"OK","ＮＧ")</f>
        <v>OK</v>
      </c>
      <c r="J26" s="93"/>
      <c r="K26" s="152" t="s">
        <v>145</v>
      </c>
      <c r="L26" s="55"/>
      <c r="M26" s="152"/>
      <c r="N26" s="152" t="s">
        <v>146</v>
      </c>
      <c r="O26" s="152"/>
      <c r="P26" s="152" t="s">
        <v>147</v>
      </c>
      <c r="Q26" s="152"/>
      <c r="R26" s="152"/>
      <c r="S26" s="152"/>
      <c r="T26" s="55"/>
      <c r="U26" s="55"/>
      <c r="V26" s="55"/>
      <c r="W26" s="55"/>
      <c r="X26" s="55"/>
      <c r="Y26" s="55"/>
      <c r="Z26" s="55"/>
      <c r="AA26" s="55"/>
      <c r="AB26" s="55"/>
      <c r="AC26" s="2"/>
      <c r="AD26" s="2"/>
      <c r="AE26" s="2"/>
    </row>
    <row r="27" spans="1:31" ht="14.25">
      <c r="A27" s="148"/>
      <c r="B27" s="148"/>
      <c r="C27" s="148"/>
      <c r="D27" s="148"/>
      <c r="E27" s="148"/>
      <c r="F27" s="148"/>
      <c r="G27" s="148"/>
      <c r="H27" s="148"/>
      <c r="I27" s="148"/>
      <c r="J27" s="93"/>
      <c r="K27" s="54"/>
      <c r="L27" s="152"/>
      <c r="M27" s="152"/>
      <c r="N27" s="152" t="s">
        <v>148</v>
      </c>
      <c r="O27" s="152"/>
      <c r="P27" s="152" t="s">
        <v>149</v>
      </c>
      <c r="Q27" s="152"/>
      <c r="R27" s="152"/>
      <c r="S27" s="152"/>
      <c r="T27" s="55"/>
      <c r="U27" s="55"/>
      <c r="V27" s="55"/>
      <c r="W27" s="55"/>
      <c r="X27" s="55"/>
      <c r="Y27" s="55"/>
      <c r="Z27" s="55"/>
      <c r="AA27" s="55"/>
      <c r="AB27" s="55"/>
      <c r="AC27" s="2"/>
      <c r="AD27" s="2"/>
      <c r="AE27" s="2"/>
    </row>
    <row r="28" spans="1:31" ht="14.25">
      <c r="A28" s="148"/>
      <c r="B28" s="148"/>
      <c r="C28" s="148"/>
      <c r="D28" s="148"/>
      <c r="E28" s="148"/>
      <c r="F28" s="148"/>
      <c r="G28" s="148"/>
      <c r="H28" s="148"/>
      <c r="I28" s="148"/>
      <c r="J28" s="93"/>
      <c r="K28" s="54"/>
      <c r="L28" s="152" t="s">
        <v>150</v>
      </c>
      <c r="M28" s="152" t="str">
        <f>IF(M23&lt;=N25,"λ≦Λ","λ＞Λ")</f>
        <v>λ＞Λ</v>
      </c>
      <c r="N28" s="152"/>
      <c r="O28" s="160" t="s">
        <v>151</v>
      </c>
      <c r="P28" s="161">
        <f>IF(M23&lt;=N25,(1-0.4*(M23/N25)^2)*C4/R25,0.277*C4/(M23/N25)^2)</f>
        <v>36.13116419027254</v>
      </c>
      <c r="Q28" s="152" t="s">
        <v>152</v>
      </c>
      <c r="R28" s="152"/>
      <c r="S28" s="152"/>
      <c r="T28" s="55"/>
      <c r="U28" s="55"/>
      <c r="V28" s="55"/>
      <c r="W28" s="55"/>
      <c r="X28" s="55"/>
      <c r="Y28" s="55"/>
      <c r="Z28" s="55"/>
      <c r="AA28" s="55"/>
      <c r="AB28" s="55"/>
      <c r="AC28" s="2"/>
      <c r="AD28" s="2"/>
      <c r="AE28" s="2"/>
    </row>
    <row r="29" spans="1:31" ht="15" thickBot="1">
      <c r="A29" s="100"/>
      <c r="B29" s="100"/>
      <c r="C29" s="100" t="s">
        <v>153</v>
      </c>
      <c r="D29" s="100" t="s">
        <v>154</v>
      </c>
      <c r="E29" s="162" t="str">
        <f>E1</f>
        <v>梁記号</v>
      </c>
      <c r="F29" s="163">
        <f>F1</f>
        <v>0</v>
      </c>
      <c r="G29" s="100"/>
      <c r="H29" s="100"/>
      <c r="I29" s="100"/>
      <c r="J29" s="93"/>
      <c r="K29" s="54"/>
      <c r="L29" s="152"/>
      <c r="M29" s="152"/>
      <c r="N29" s="152"/>
      <c r="O29" s="152"/>
      <c r="P29" s="164">
        <f>P28*100</f>
        <v>3613.1164190272543</v>
      </c>
      <c r="Q29" s="152" t="s">
        <v>155</v>
      </c>
      <c r="R29" s="55"/>
      <c r="S29" s="152"/>
      <c r="T29" s="165">
        <f>P29/9.8/1000</f>
        <v>0.36868534888033205</v>
      </c>
      <c r="U29" s="152" t="s">
        <v>156</v>
      </c>
      <c r="V29" s="55"/>
      <c r="W29" s="55"/>
      <c r="X29" s="55"/>
      <c r="Y29" s="55"/>
      <c r="Z29" s="55"/>
      <c r="AA29" s="55"/>
      <c r="AB29" s="55"/>
      <c r="AC29" s="2"/>
      <c r="AD29" s="2"/>
      <c r="AE29" s="2"/>
    </row>
    <row r="30" spans="1:31" ht="14.25">
      <c r="A30" s="148"/>
      <c r="B30" s="148"/>
      <c r="C30" s="148"/>
      <c r="D30" s="148"/>
      <c r="E30" s="148"/>
      <c r="F30" s="148"/>
      <c r="G30" s="148"/>
      <c r="H30" s="148"/>
      <c r="I30" s="148"/>
      <c r="J30" s="93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"/>
      <c r="AD30" s="2"/>
      <c r="AE30" s="2"/>
    </row>
    <row r="31" spans="1:31" ht="14.25">
      <c r="A31" s="103" t="s">
        <v>45</v>
      </c>
      <c r="B31" s="104" t="s">
        <v>46</v>
      </c>
      <c r="C31" s="166" t="str">
        <f>C3</f>
        <v>SS400</v>
      </c>
      <c r="D31" s="106"/>
      <c r="E31" s="107" t="s">
        <v>48</v>
      </c>
      <c r="F31" s="107" t="s">
        <v>49</v>
      </c>
      <c r="G31" s="107" t="s">
        <v>50</v>
      </c>
      <c r="H31" s="107" t="s">
        <v>51</v>
      </c>
      <c r="I31" s="108" t="s">
        <v>52</v>
      </c>
      <c r="J31" s="109" t="s">
        <v>53</v>
      </c>
      <c r="K31" s="109" t="s">
        <v>54</v>
      </c>
      <c r="L31" s="109" t="s">
        <v>55</v>
      </c>
      <c r="M31" s="109"/>
      <c r="N31" s="109" t="s">
        <v>56</v>
      </c>
      <c r="O31" s="109"/>
      <c r="P31" s="109" t="s">
        <v>57</v>
      </c>
      <c r="Q31" s="109"/>
      <c r="R31" s="109" t="s">
        <v>58</v>
      </c>
      <c r="S31" s="109" t="s">
        <v>59</v>
      </c>
      <c r="T31" s="55"/>
      <c r="U31" s="55"/>
      <c r="V31" s="55"/>
      <c r="W31" s="55"/>
      <c r="X31" s="55"/>
      <c r="Y31" s="55"/>
      <c r="Z31" s="55"/>
      <c r="AA31" s="55"/>
      <c r="AB31" s="55"/>
      <c r="AC31" s="2"/>
      <c r="AD31" s="2"/>
      <c r="AE31" s="2"/>
    </row>
    <row r="32" spans="1:31" ht="14.25">
      <c r="A32" s="110"/>
      <c r="B32" s="111" t="s">
        <v>60</v>
      </c>
      <c r="C32" s="132">
        <f>C4</f>
        <v>235</v>
      </c>
      <c r="D32" s="113" t="s">
        <v>61</v>
      </c>
      <c r="E32" s="114" t="s">
        <v>62</v>
      </c>
      <c r="F32" s="114" t="s">
        <v>62</v>
      </c>
      <c r="G32" s="114" t="s">
        <v>62</v>
      </c>
      <c r="H32" s="114" t="s">
        <v>62</v>
      </c>
      <c r="I32" s="115" t="s">
        <v>62</v>
      </c>
      <c r="J32" s="116" t="s">
        <v>63</v>
      </c>
      <c r="K32" s="116" t="s">
        <v>64</v>
      </c>
      <c r="L32" s="116" t="s">
        <v>65</v>
      </c>
      <c r="M32" s="116" t="s">
        <v>65</v>
      </c>
      <c r="N32" s="116" t="s">
        <v>66</v>
      </c>
      <c r="O32" s="116" t="s">
        <v>66</v>
      </c>
      <c r="P32" s="116" t="s">
        <v>67</v>
      </c>
      <c r="Q32" s="116" t="s">
        <v>67</v>
      </c>
      <c r="R32" s="116"/>
      <c r="S32" s="116"/>
      <c r="T32" s="55"/>
      <c r="U32" s="55"/>
      <c r="V32" s="55"/>
      <c r="W32" s="55"/>
      <c r="X32" s="55"/>
      <c r="Y32" s="55"/>
      <c r="Z32" s="55"/>
      <c r="AA32" s="55"/>
      <c r="AB32" s="55"/>
      <c r="AC32" s="2"/>
      <c r="AD32" s="2"/>
      <c r="AE32" s="2"/>
    </row>
    <row r="33" spans="1:31" ht="14.25">
      <c r="A33" s="117"/>
      <c r="B33" s="167" t="str">
        <f>B5</f>
        <v>　Ｈ-200×100×5.5×8</v>
      </c>
      <c r="C33" s="168"/>
      <c r="D33" s="169"/>
      <c r="E33" s="170">
        <f>E5</f>
        <v>200</v>
      </c>
      <c r="F33" s="170">
        <f>F5</f>
        <v>100</v>
      </c>
      <c r="G33" s="170">
        <f>G5</f>
        <v>5.5</v>
      </c>
      <c r="H33" s="170">
        <f>H5</f>
        <v>8</v>
      </c>
      <c r="I33" s="171">
        <f>I5</f>
        <v>8</v>
      </c>
      <c r="J33" s="119">
        <f>(F33*H33*2+(E33-H33*2)*G33+(4-PI())*I33^2)/100</f>
        <v>26.66938070170253</v>
      </c>
      <c r="K33" s="120">
        <f>J33*7.85*100/1000</f>
        <v>20.935463850836484</v>
      </c>
      <c r="L33" s="121">
        <f>(F33*E33^3/12-(F33-G33)*(E33-2*H33)^3/12+(0.008077*I33^4+0.2146*I33^2*((E33-2*H33)/2-0.17365*I33)^2)*4)/10000</f>
        <v>1806.051011566428</v>
      </c>
      <c r="M33" s="121">
        <f>(H33*F33^3/12*2+(E33-2*H33)*G33^3/12+(0.008077*I33^4+0.2146*I33^2*(G33/2+0.17365*I33)^2)*4)/10000</f>
        <v>133.69579948521243</v>
      </c>
      <c r="N33" s="119">
        <f>SQRT(L33/J33)</f>
        <v>8.22921749862445</v>
      </c>
      <c r="O33" s="119">
        <f>SQRT(M33/J33)</f>
        <v>2.238991350510596</v>
      </c>
      <c r="P33" s="121">
        <f>L33/(E33/20)</f>
        <v>180.6051011566428</v>
      </c>
      <c r="Q33" s="121">
        <f>M33/(F33/20)</f>
        <v>26.739159897042487</v>
      </c>
      <c r="R33" s="119">
        <f>SQRT((H33*F33^3/12+(E33/6-H33)*G33^3/12+(0.008077*I33^4+0.2146*I33^2*(G33/2+0.1736*I33)^2)*2)/(F33*H33+(E33/6-H33)*G33+(0.2146*I33^2)*2))/10</f>
        <v>2.6276928341651637</v>
      </c>
      <c r="S33" s="119">
        <f>R33*E33/10/(F33*H33/100)</f>
        <v>6.569232085412909</v>
      </c>
      <c r="T33" s="55"/>
      <c r="U33" s="55"/>
      <c r="V33" s="55"/>
      <c r="W33" s="55"/>
      <c r="X33" s="55"/>
      <c r="Y33" s="55"/>
      <c r="Z33" s="55"/>
      <c r="AA33" s="55"/>
      <c r="AB33" s="55"/>
      <c r="AC33" s="2"/>
      <c r="AD33" s="2"/>
      <c r="AE33" s="2"/>
    </row>
    <row r="34" spans="1:31" ht="14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2"/>
      <c r="AD34" s="2"/>
      <c r="AE34" s="2"/>
    </row>
    <row r="35" spans="1:31" ht="14.25">
      <c r="A35" s="55" t="s">
        <v>68</v>
      </c>
      <c r="B35" s="158">
        <f>B7</f>
        <v>360</v>
      </c>
      <c r="C35" s="55" t="s">
        <v>69</v>
      </c>
      <c r="D35" s="55" t="s">
        <v>70</v>
      </c>
      <c r="E35" s="142">
        <f>E7</f>
        <v>1</v>
      </c>
      <c r="F35" s="55" t="s">
        <v>71</v>
      </c>
      <c r="G35" s="55"/>
      <c r="H35" s="124">
        <f>N41</f>
        <v>180</v>
      </c>
      <c r="I35" s="55" t="s">
        <v>72</v>
      </c>
      <c r="J35" s="55"/>
      <c r="K35" s="55"/>
      <c r="L35" s="103" t="s">
        <v>73</v>
      </c>
      <c r="M35" s="103" t="s">
        <v>74</v>
      </c>
      <c r="N35" s="103" t="s">
        <v>75</v>
      </c>
      <c r="O35" s="103" t="s">
        <v>76</v>
      </c>
      <c r="P35" s="103" t="s">
        <v>77</v>
      </c>
      <c r="Q35" s="104" t="s">
        <v>78</v>
      </c>
      <c r="R35" s="106"/>
      <c r="S35" s="103" t="s">
        <v>79</v>
      </c>
      <c r="T35" s="55"/>
      <c r="U35" s="55"/>
      <c r="V35" s="55"/>
      <c r="W35" s="55"/>
      <c r="X35" s="55"/>
      <c r="Y35" s="55"/>
      <c r="Z35" s="55"/>
      <c r="AA35" s="55"/>
      <c r="AB35" s="55"/>
      <c r="AC35" s="2"/>
      <c r="AD35" s="2"/>
      <c r="AE35" s="2"/>
    </row>
    <row r="36" spans="1:31" ht="14.25">
      <c r="A36" s="55" t="s">
        <v>80</v>
      </c>
      <c r="B36" s="125"/>
      <c r="C36" s="55" t="s">
        <v>81</v>
      </c>
      <c r="D36" s="55" t="s">
        <v>82</v>
      </c>
      <c r="E36" s="189">
        <f>'多荷重自由端（短期）'!M37*100000</f>
        <v>1473180.84</v>
      </c>
      <c r="F36" s="55" t="s">
        <v>83</v>
      </c>
      <c r="G36" s="55" t="s">
        <v>84</v>
      </c>
      <c r="H36" s="189">
        <f>'多荷重自由端（短期）'!M38*1000</f>
        <v>10368.676000000001</v>
      </c>
      <c r="I36" s="55" t="s">
        <v>85</v>
      </c>
      <c r="J36" s="55"/>
      <c r="K36" s="55"/>
      <c r="L36" s="110" t="s">
        <v>86</v>
      </c>
      <c r="M36" s="110" t="s">
        <v>87</v>
      </c>
      <c r="N36" s="126" t="s">
        <v>88</v>
      </c>
      <c r="O36" s="126" t="s">
        <v>88</v>
      </c>
      <c r="P36" s="110"/>
      <c r="Q36" s="111" t="s">
        <v>89</v>
      </c>
      <c r="R36" s="113"/>
      <c r="S36" s="116" t="s">
        <v>90</v>
      </c>
      <c r="T36" s="55"/>
      <c r="U36" s="55"/>
      <c r="V36" s="55"/>
      <c r="W36" s="55"/>
      <c r="X36" s="55"/>
      <c r="Y36" s="55"/>
      <c r="Z36" s="55"/>
      <c r="AA36" s="55"/>
      <c r="AB36" s="55"/>
      <c r="AC36" s="2"/>
      <c r="AD36" s="2"/>
      <c r="AE36" s="2"/>
    </row>
    <row r="37" spans="1:31" ht="14.25">
      <c r="A37" s="93"/>
      <c r="B37" s="127"/>
      <c r="C37" s="93" t="s">
        <v>91</v>
      </c>
      <c r="D37" s="55" t="s">
        <v>82</v>
      </c>
      <c r="E37" s="125"/>
      <c r="F37" s="55" t="s">
        <v>83</v>
      </c>
      <c r="G37" s="93"/>
      <c r="H37" s="127"/>
      <c r="I37" s="93"/>
      <c r="J37" s="55"/>
      <c r="K37" s="55"/>
      <c r="L37" s="121">
        <f>(E33-H33)^2*M33/4/100</f>
        <v>12321.404880557177</v>
      </c>
      <c r="M37" s="128">
        <f>(2*F33*H33^3+(E33-H33)*G33^3)/3/10000</f>
        <v>4.478133333333334</v>
      </c>
      <c r="N37" s="129">
        <f>P33*C32*1000/10</f>
        <v>4244219.877181106</v>
      </c>
      <c r="O37" s="129">
        <f>N46*SQRT((PI()^4*205000*M33*10000*205000*L37*1000000/(N41*10)^4)+(PI()^2*205000*M33*10000*79000*M37*10000)/(N41*10)^2)/10</f>
        <v>9683717.626579486</v>
      </c>
      <c r="P37" s="119">
        <f>SQRT(N37/O37)</f>
        <v>0.662030318492768</v>
      </c>
      <c r="Q37" s="130">
        <f>1/SQRT(0.6)</f>
        <v>1.2909944487358056</v>
      </c>
      <c r="R37" s="131"/>
      <c r="S37" s="132">
        <f>(E33-2*(H33+I33))*G33</f>
        <v>924</v>
      </c>
      <c r="T37" s="55"/>
      <c r="U37" s="55"/>
      <c r="V37" s="55"/>
      <c r="W37" s="55"/>
      <c r="X37" s="55"/>
      <c r="Y37" s="55"/>
      <c r="Z37" s="55"/>
      <c r="AA37" s="55"/>
      <c r="AB37" s="55"/>
      <c r="AC37" s="2"/>
      <c r="AD37" s="2"/>
      <c r="AE37" s="2"/>
    </row>
    <row r="38" spans="1:31" ht="14.25">
      <c r="A38" s="93" t="s">
        <v>92</v>
      </c>
      <c r="B38" s="127"/>
      <c r="C38" s="55"/>
      <c r="D38" s="93"/>
      <c r="E38" s="127"/>
      <c r="F38" s="93"/>
      <c r="G38" s="93"/>
      <c r="H38" s="133"/>
      <c r="I38" s="93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2"/>
      <c r="AD38" s="2"/>
      <c r="AE38" s="2"/>
    </row>
    <row r="39" spans="1:31" ht="14.25">
      <c r="A39" s="93"/>
      <c r="B39" s="93"/>
      <c r="C39" s="134" t="s">
        <v>93</v>
      </c>
      <c r="D39" s="93"/>
      <c r="E39" s="93"/>
      <c r="F39" s="93"/>
      <c r="G39" s="93"/>
      <c r="H39" s="135" t="str">
        <f>IF(P37&lt;=N47,C32/N48,"該当しない")</f>
        <v>該当しない</v>
      </c>
      <c r="I39" s="93" t="s">
        <v>94</v>
      </c>
      <c r="J39" s="55"/>
      <c r="K39" s="55"/>
      <c r="L39" s="136"/>
      <c r="M39" s="55"/>
      <c r="N39" s="55"/>
      <c r="O39" s="55"/>
      <c r="P39" s="55" t="s">
        <v>95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2"/>
      <c r="AD39" s="2"/>
      <c r="AE39" s="2"/>
    </row>
    <row r="40" spans="1:31" ht="14.25">
      <c r="A40" s="93" t="s">
        <v>96</v>
      </c>
      <c r="B40" s="93"/>
      <c r="C40" s="93"/>
      <c r="D40" s="93"/>
      <c r="E40" s="127"/>
      <c r="F40" s="93"/>
      <c r="G40" s="93"/>
      <c r="H40" s="133"/>
      <c r="I40" s="93"/>
      <c r="J40" s="55"/>
      <c r="K40" s="55"/>
      <c r="L40" s="55"/>
      <c r="M40" s="55"/>
      <c r="N40" s="55"/>
      <c r="O40" s="55"/>
      <c r="P40" s="55"/>
      <c r="Q40" s="55"/>
      <c r="R40" s="55"/>
      <c r="S40" s="55" t="s">
        <v>97</v>
      </c>
      <c r="T40" s="55"/>
      <c r="U40" s="55"/>
      <c r="V40" s="55"/>
      <c r="W40" s="55"/>
      <c r="X40" s="55"/>
      <c r="Y40" s="55"/>
      <c r="Z40" s="55"/>
      <c r="AA40" s="55"/>
      <c r="AB40" s="55"/>
      <c r="AC40" s="2"/>
      <c r="AD40" s="2"/>
      <c r="AE40" s="2"/>
    </row>
    <row r="41" spans="1:31" ht="14.25">
      <c r="A41" s="93"/>
      <c r="B41" s="93"/>
      <c r="C41" s="93" t="s">
        <v>98</v>
      </c>
      <c r="D41" s="93"/>
      <c r="E41" s="93"/>
      <c r="F41" s="93"/>
      <c r="G41" s="93"/>
      <c r="H41" s="135">
        <f>IF(P37&gt;N47,IF(P37&lt;=Q37,(1-0.4*(P37-N47)/(Q37-N47))*C32/N48,"該当しない"),"該当しない")</f>
        <v>119.77452560836794</v>
      </c>
      <c r="I41" s="93" t="s">
        <v>99</v>
      </c>
      <c r="J41" s="55"/>
      <c r="K41" s="55" t="s">
        <v>100</v>
      </c>
      <c r="L41" s="55"/>
      <c r="M41" s="55"/>
      <c r="N41" s="124">
        <f>N13</f>
        <v>180</v>
      </c>
      <c r="O41" s="55" t="s">
        <v>101</v>
      </c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2"/>
      <c r="AD41" s="2"/>
      <c r="AE41" s="2"/>
    </row>
    <row r="42" spans="1:31" ht="14.25">
      <c r="A42" s="137" t="s">
        <v>102</v>
      </c>
      <c r="B42" s="94"/>
      <c r="C42" s="93"/>
      <c r="D42" s="134"/>
      <c r="E42" s="138"/>
      <c r="F42" s="93"/>
      <c r="G42" s="134"/>
      <c r="H42" s="133"/>
      <c r="I42" s="93"/>
      <c r="J42" s="55"/>
      <c r="K42" s="55" t="s">
        <v>103</v>
      </c>
      <c r="L42" s="55"/>
      <c r="M42" s="55"/>
      <c r="N42" s="125"/>
      <c r="O42" s="55" t="s">
        <v>104</v>
      </c>
      <c r="P42" s="55"/>
      <c r="Q42" s="55"/>
      <c r="R42" s="55"/>
      <c r="S42" s="139">
        <v>1</v>
      </c>
      <c r="T42" s="55"/>
      <c r="U42" s="55"/>
      <c r="V42" s="55"/>
      <c r="W42" s="55"/>
      <c r="X42" s="55"/>
      <c r="Y42" s="55"/>
      <c r="Z42" s="55"/>
      <c r="AA42" s="55"/>
      <c r="AB42" s="55"/>
      <c r="AC42" s="2"/>
      <c r="AD42" s="2"/>
      <c r="AE42" s="2"/>
    </row>
    <row r="43" spans="1:31" ht="14.25">
      <c r="A43" s="134"/>
      <c r="B43" s="94"/>
      <c r="C43" s="93" t="s">
        <v>105</v>
      </c>
      <c r="D43" s="134"/>
      <c r="E43" s="138"/>
      <c r="F43" s="93"/>
      <c r="G43" s="93"/>
      <c r="H43" s="140" t="str">
        <f>IF(P37&gt;Q37,1/(P37)^2*C32/2.17,"該当しない")</f>
        <v>該当しない</v>
      </c>
      <c r="I43" s="93" t="s">
        <v>106</v>
      </c>
      <c r="J43" s="55"/>
      <c r="K43" s="55" t="s">
        <v>107</v>
      </c>
      <c r="L43" s="55"/>
      <c r="M43" s="55"/>
      <c r="N43" s="125"/>
      <c r="O43" s="55" t="s">
        <v>104</v>
      </c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2"/>
      <c r="AD43" s="2"/>
      <c r="AE43" s="2"/>
    </row>
    <row r="44" spans="1:31" ht="14.25">
      <c r="A44" s="93"/>
      <c r="B44" s="93"/>
      <c r="C44" s="93"/>
      <c r="D44" s="93"/>
      <c r="E44" s="93"/>
      <c r="F44" s="93"/>
      <c r="G44" s="93"/>
      <c r="H44" s="93"/>
      <c r="I44" s="93"/>
      <c r="J44" s="55"/>
      <c r="K44" s="55" t="s">
        <v>108</v>
      </c>
      <c r="L44" s="55"/>
      <c r="M44" s="55"/>
      <c r="N44" s="125">
        <v>3</v>
      </c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2"/>
      <c r="AD44" s="2"/>
      <c r="AE44" s="2"/>
    </row>
    <row r="45" spans="1:31" ht="14.25">
      <c r="A45" s="141" t="s">
        <v>109</v>
      </c>
      <c r="B45" s="141"/>
      <c r="C45" s="55"/>
      <c r="D45" s="55" t="s">
        <v>110</v>
      </c>
      <c r="E45" s="55"/>
      <c r="F45" s="55"/>
      <c r="G45" s="55" t="s">
        <v>111</v>
      </c>
      <c r="H45" s="55"/>
      <c r="I45" s="55"/>
      <c r="J45" s="55"/>
      <c r="K45" s="55" t="s">
        <v>112</v>
      </c>
      <c r="L45" s="55"/>
      <c r="M45" s="55"/>
      <c r="N45" s="142">
        <f>IF(N42=0,IF(N44=3,1,1),IF(N44=3,1,1.75+N44*ABS(N43/N42)*1.05+0.3*(N43/N42)^2))</f>
        <v>1</v>
      </c>
      <c r="O45" s="55"/>
      <c r="P45" s="55"/>
      <c r="Q45" s="55"/>
      <c r="R45" s="55"/>
      <c r="S45" s="139">
        <v>-1</v>
      </c>
      <c r="T45" s="55"/>
      <c r="U45" s="55"/>
      <c r="V45" s="55"/>
      <c r="W45" s="55"/>
      <c r="X45" s="55"/>
      <c r="Y45" s="55"/>
      <c r="Z45" s="55"/>
      <c r="AA45" s="55"/>
      <c r="AB45" s="55"/>
      <c r="AC45" s="2"/>
      <c r="AD45" s="2"/>
      <c r="AE45" s="2"/>
    </row>
    <row r="46" spans="1:31" ht="14.25">
      <c r="A46" s="134" t="s">
        <v>113</v>
      </c>
      <c r="B46" s="143">
        <f>P56*1.5</f>
        <v>54.196746285408814</v>
      </c>
      <c r="C46" s="144" t="s">
        <v>114</v>
      </c>
      <c r="D46" s="145" t="s">
        <v>115</v>
      </c>
      <c r="E46" s="135">
        <f>MAX(H39:H43)*1.5</f>
        <v>179.6617884125519</v>
      </c>
      <c r="F46" s="144" t="s">
        <v>116</v>
      </c>
      <c r="G46" s="145" t="s">
        <v>117</v>
      </c>
      <c r="H46" s="135">
        <f>C32/1.5/SQRT(3)*1.5</f>
        <v>135.67731325956206</v>
      </c>
      <c r="I46" s="55" t="s">
        <v>116</v>
      </c>
      <c r="J46" s="55"/>
      <c r="K46" s="55" t="s">
        <v>118</v>
      </c>
      <c r="L46" s="55"/>
      <c r="M46" s="55"/>
      <c r="N46" s="142">
        <f>IF(N45&gt;=2.3,2.3,N45)</f>
        <v>1</v>
      </c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2"/>
      <c r="AD46" s="2"/>
      <c r="AE46" s="2"/>
    </row>
    <row r="47" spans="1:31" ht="13.5">
      <c r="A47" s="141"/>
      <c r="B47" s="146"/>
      <c r="C47" s="144"/>
      <c r="D47" s="145" t="s">
        <v>119</v>
      </c>
      <c r="E47" s="135">
        <f>C32/1.5*1.5</f>
        <v>235</v>
      </c>
      <c r="F47" s="144" t="s">
        <v>116</v>
      </c>
      <c r="G47" s="144"/>
      <c r="H47" s="133"/>
      <c r="I47" s="55"/>
      <c r="J47" s="55"/>
      <c r="K47" s="93" t="s">
        <v>121</v>
      </c>
      <c r="L47" s="93"/>
      <c r="M47" s="93"/>
      <c r="N47" s="142">
        <f>IF(N42=0,IF(N44=3,0.3,0.3),IF(N44=3,0.3,0.6+0.3*ABS(N43/N42)*N44))</f>
        <v>0.3</v>
      </c>
      <c r="O47" s="93"/>
      <c r="P47" s="55" t="s">
        <v>122</v>
      </c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2"/>
      <c r="AD47" s="2"/>
      <c r="AE47" s="2"/>
    </row>
    <row r="48" spans="1:31" ht="14.25">
      <c r="A48" s="141" t="s">
        <v>123</v>
      </c>
      <c r="B48" s="146"/>
      <c r="C48" s="146"/>
      <c r="D48" s="146"/>
      <c r="E48" s="146"/>
      <c r="F48" s="146"/>
      <c r="G48" s="146"/>
      <c r="H48" s="146"/>
      <c r="I48" s="141"/>
      <c r="J48" s="93"/>
      <c r="K48" s="93" t="s">
        <v>124</v>
      </c>
      <c r="L48" s="93"/>
      <c r="M48" s="93"/>
      <c r="N48" s="142">
        <f>IF(N41=0,1.5,3/2+2/3*(P37/Q37)^2)</f>
        <v>1.6753136570414544</v>
      </c>
      <c r="O48" s="93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2"/>
      <c r="AD48" s="2"/>
      <c r="AE48" s="2"/>
    </row>
    <row r="49" spans="1:31" ht="14.25">
      <c r="A49" s="134" t="s">
        <v>125</v>
      </c>
      <c r="B49" s="143">
        <f>B36/(J33*100)</f>
        <v>0</v>
      </c>
      <c r="C49" s="144" t="s">
        <v>126</v>
      </c>
      <c r="D49" s="146" t="s">
        <v>127</v>
      </c>
      <c r="E49" s="143">
        <f>E36/P33/100</f>
        <v>81.56917111229752</v>
      </c>
      <c r="F49" s="144" t="s">
        <v>128</v>
      </c>
      <c r="G49" s="147" t="s">
        <v>129</v>
      </c>
      <c r="H49" s="143">
        <f>H36/S37</f>
        <v>11.221510822510824</v>
      </c>
      <c r="I49" s="93" t="s">
        <v>128</v>
      </c>
      <c r="J49" s="93"/>
      <c r="K49" s="93"/>
      <c r="L49" s="93"/>
      <c r="M49" s="93"/>
      <c r="N49" s="93"/>
      <c r="O49" s="93"/>
      <c r="P49" s="55"/>
      <c r="Q49" s="55"/>
      <c r="R49" s="55"/>
      <c r="S49" s="139">
        <v>3</v>
      </c>
      <c r="T49" s="55"/>
      <c r="U49" s="55"/>
      <c r="V49" s="55"/>
      <c r="W49" s="55"/>
      <c r="X49" s="55"/>
      <c r="Y49" s="55"/>
      <c r="Z49" s="55"/>
      <c r="AA49" s="55"/>
      <c r="AB49" s="55"/>
      <c r="AC49" s="2"/>
      <c r="AD49" s="2"/>
      <c r="AE49" s="2"/>
    </row>
    <row r="50" spans="1:31" ht="14.25">
      <c r="A50" s="148"/>
      <c r="B50" s="149"/>
      <c r="C50" s="149"/>
      <c r="D50" s="149" t="s">
        <v>130</v>
      </c>
      <c r="E50" s="143">
        <f>E37/Q33/100</f>
        <v>0</v>
      </c>
      <c r="F50" s="144" t="s">
        <v>128</v>
      </c>
      <c r="G50" s="149"/>
      <c r="H50" s="149"/>
      <c r="I50" s="148"/>
      <c r="J50" s="93"/>
      <c r="K50" s="54" t="s">
        <v>131</v>
      </c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5"/>
      <c r="W50" s="55"/>
      <c r="X50" s="55"/>
      <c r="Y50" s="55"/>
      <c r="Z50" s="55"/>
      <c r="AA50" s="55"/>
      <c r="AB50" s="55"/>
      <c r="AC50" s="2"/>
      <c r="AD50" s="2"/>
      <c r="AE50" s="2"/>
    </row>
    <row r="51" spans="1:31" ht="14.25">
      <c r="A51" s="148"/>
      <c r="B51" s="148"/>
      <c r="C51" s="148"/>
      <c r="D51" s="148"/>
      <c r="E51" s="148"/>
      <c r="F51" s="148"/>
      <c r="G51" s="148"/>
      <c r="H51" s="148"/>
      <c r="I51" s="148"/>
      <c r="J51" s="55"/>
      <c r="K51" s="54"/>
      <c r="L51" s="150" t="s">
        <v>132</v>
      </c>
      <c r="M51" s="151">
        <f>B35*E35/O33</f>
        <v>160.7866863433407</v>
      </c>
      <c r="N51" s="152" t="s">
        <v>133</v>
      </c>
      <c r="O51" s="152"/>
      <c r="P51" s="152"/>
      <c r="Q51" s="54" t="s">
        <v>134</v>
      </c>
      <c r="R51" s="55"/>
      <c r="S51" s="55"/>
      <c r="T51" s="55"/>
      <c r="U51" s="93"/>
      <c r="V51" s="55"/>
      <c r="W51" s="55"/>
      <c r="X51" s="55"/>
      <c r="Y51" s="55"/>
      <c r="Z51" s="55"/>
      <c r="AA51" s="55"/>
      <c r="AB51" s="55"/>
      <c r="AC51" s="2"/>
      <c r="AD51" s="2"/>
      <c r="AE51" s="2"/>
    </row>
    <row r="52" spans="1:31" ht="13.5">
      <c r="A52" s="148" t="s">
        <v>135</v>
      </c>
      <c r="B52" s="55" t="s">
        <v>136</v>
      </c>
      <c r="C52" s="55" t="s">
        <v>137</v>
      </c>
      <c r="D52" s="55"/>
      <c r="E52" s="55"/>
      <c r="F52" s="153">
        <f>E49/E46+E50/E47+B49/B46</f>
        <v>0.4540151349545331</v>
      </c>
      <c r="G52" s="154" t="str">
        <f>IF(F52&lt;=1,"≦","＞")</f>
        <v>≦</v>
      </c>
      <c r="H52" s="155">
        <v>1</v>
      </c>
      <c r="I52" s="152" t="str">
        <f>IF(F52&lt;=1,"OK","ＮＧ")</f>
        <v>OK</v>
      </c>
      <c r="J52" s="93"/>
      <c r="K52" s="54"/>
      <c r="L52" s="93" t="s">
        <v>138</v>
      </c>
      <c r="M52" s="156"/>
      <c r="N52" s="152"/>
      <c r="O52" s="152"/>
      <c r="P52" s="152"/>
      <c r="Q52" s="152"/>
      <c r="R52" s="152"/>
      <c r="S52" s="152"/>
      <c r="T52" s="55"/>
      <c r="U52" s="157"/>
      <c r="V52" s="55"/>
      <c r="W52" s="55"/>
      <c r="X52" s="55"/>
      <c r="Y52" s="55"/>
      <c r="Z52" s="55"/>
      <c r="AA52" s="55"/>
      <c r="AB52" s="55"/>
      <c r="AC52" s="2"/>
      <c r="AD52" s="2"/>
      <c r="AE52" s="2"/>
    </row>
    <row r="53" spans="1:31" ht="13.5">
      <c r="A53" s="148"/>
      <c r="B53" s="55" t="s">
        <v>139</v>
      </c>
      <c r="C53" s="152" t="s">
        <v>140</v>
      </c>
      <c r="D53" s="55"/>
      <c r="E53" s="55"/>
      <c r="F53" s="153">
        <f>(E49+E50-B49)/(C32/1.5*1.5)</f>
        <v>0.3471028557970107</v>
      </c>
      <c r="G53" s="154" t="str">
        <f>IF(F53&lt;=1,"≦","＞")</f>
        <v>≦</v>
      </c>
      <c r="H53" s="155">
        <v>1</v>
      </c>
      <c r="I53" s="152" t="str">
        <f>IF(F53&lt;=1,"OK","ＮＧ")</f>
        <v>OK</v>
      </c>
      <c r="J53" s="93"/>
      <c r="K53" s="54"/>
      <c r="L53" s="152" t="s">
        <v>141</v>
      </c>
      <c r="M53" s="152"/>
      <c r="N53" s="158">
        <f>SQRT(PI()^2*205000/0.6/C32)</f>
        <v>119.78908480518268</v>
      </c>
      <c r="O53" s="152"/>
      <c r="P53" s="152" t="s">
        <v>142</v>
      </c>
      <c r="Q53" s="152"/>
      <c r="R53" s="159">
        <f>1.5+2/3*(M51/N53)^2</f>
        <v>2.7010868633552136</v>
      </c>
      <c r="S53" s="152"/>
      <c r="T53" s="55"/>
      <c r="U53" s="93"/>
      <c r="V53" s="55"/>
      <c r="W53" s="55"/>
      <c r="X53" s="55"/>
      <c r="Y53" s="55"/>
      <c r="Z53" s="55"/>
      <c r="AA53" s="55"/>
      <c r="AB53" s="55"/>
      <c r="AC53" s="2"/>
      <c r="AD53" s="2"/>
      <c r="AE53" s="2"/>
    </row>
    <row r="54" spans="1:31" ht="13.5">
      <c r="A54" s="148"/>
      <c r="B54" s="55" t="s">
        <v>143</v>
      </c>
      <c r="C54" s="55" t="s">
        <v>144</v>
      </c>
      <c r="D54" s="55"/>
      <c r="E54" s="55"/>
      <c r="F54" s="153">
        <f>H49/H46</f>
        <v>0.08270734843520328</v>
      </c>
      <c r="G54" s="154" t="str">
        <f>IF(F54&lt;=1,"≦","＞")</f>
        <v>≦</v>
      </c>
      <c r="H54" s="155">
        <v>1</v>
      </c>
      <c r="I54" s="152" t="str">
        <f>IF(F54&lt;=1,"OK","ＮＧ")</f>
        <v>OK</v>
      </c>
      <c r="J54" s="93"/>
      <c r="K54" s="152" t="s">
        <v>145</v>
      </c>
      <c r="L54" s="55"/>
      <c r="M54" s="152"/>
      <c r="N54" s="152" t="s">
        <v>146</v>
      </c>
      <c r="O54" s="152"/>
      <c r="P54" s="152" t="s">
        <v>147</v>
      </c>
      <c r="Q54" s="152"/>
      <c r="R54" s="152"/>
      <c r="S54" s="152"/>
      <c r="T54" s="55"/>
      <c r="U54" s="55"/>
      <c r="V54" s="55"/>
      <c r="W54" s="55"/>
      <c r="X54" s="55"/>
      <c r="Y54" s="55"/>
      <c r="Z54" s="55"/>
      <c r="AA54" s="55"/>
      <c r="AB54" s="55"/>
      <c r="AC54" s="2"/>
      <c r="AD54" s="2"/>
      <c r="AE54" s="2"/>
    </row>
    <row r="55" spans="1:31" ht="13.5">
      <c r="A55" s="148"/>
      <c r="B55" s="148"/>
      <c r="C55" s="148"/>
      <c r="D55" s="148"/>
      <c r="E55" s="148"/>
      <c r="F55" s="148"/>
      <c r="G55" s="148"/>
      <c r="H55" s="148"/>
      <c r="I55" s="148"/>
      <c r="J55" s="93"/>
      <c r="K55" s="54"/>
      <c r="L55" s="152"/>
      <c r="M55" s="152"/>
      <c r="N55" s="152" t="s">
        <v>148</v>
      </c>
      <c r="O55" s="152"/>
      <c r="P55" s="152" t="s">
        <v>149</v>
      </c>
      <c r="Q55" s="152"/>
      <c r="R55" s="152"/>
      <c r="S55" s="152"/>
      <c r="T55" s="55"/>
      <c r="U55" s="55"/>
      <c r="V55" s="55"/>
      <c r="W55" s="55"/>
      <c r="X55" s="55"/>
      <c r="Y55" s="55"/>
      <c r="Z55" s="55"/>
      <c r="AA55" s="55"/>
      <c r="AB55" s="55"/>
      <c r="AC55" s="2"/>
      <c r="AD55" s="2"/>
      <c r="AE55" s="2"/>
    </row>
    <row r="56" spans="1:31" ht="13.5">
      <c r="A56" s="141"/>
      <c r="B56" s="141"/>
      <c r="C56" s="141"/>
      <c r="D56" s="141"/>
      <c r="E56" s="141"/>
      <c r="F56" s="141"/>
      <c r="G56" s="141"/>
      <c r="H56" s="141"/>
      <c r="I56" s="141"/>
      <c r="J56" s="93"/>
      <c r="K56" s="54"/>
      <c r="L56" s="152" t="s">
        <v>150</v>
      </c>
      <c r="M56" s="152" t="str">
        <f>IF(M51&lt;=N53,"λ≦Λ","λ＞Λ")</f>
        <v>λ＞Λ</v>
      </c>
      <c r="N56" s="152"/>
      <c r="O56" s="160" t="s">
        <v>151</v>
      </c>
      <c r="P56" s="161">
        <f>IF(M51&lt;=N53,(1-0.4*(M51/N53)^2)*C32/R53,0.277*C32/(M51/N53)^2)</f>
        <v>36.13116419027254</v>
      </c>
      <c r="Q56" s="152" t="s">
        <v>152</v>
      </c>
      <c r="R56" s="152"/>
      <c r="S56" s="152"/>
      <c r="T56" s="55"/>
      <c r="U56" s="55"/>
      <c r="V56" s="55"/>
      <c r="W56" s="55"/>
      <c r="X56" s="55"/>
      <c r="Y56" s="55"/>
      <c r="Z56" s="55"/>
      <c r="AA56" s="55"/>
      <c r="AB56" s="55"/>
      <c r="AC56" s="2"/>
      <c r="AD56" s="2"/>
      <c r="AE56" s="2"/>
    </row>
    <row r="57" spans="1:31" ht="13.5">
      <c r="A57" s="93"/>
      <c r="B57" s="93"/>
      <c r="C57" s="93"/>
      <c r="D57" s="93"/>
      <c r="E57" s="134"/>
      <c r="F57" s="157"/>
      <c r="G57" s="93"/>
      <c r="H57" s="93"/>
      <c r="I57" s="93"/>
      <c r="J57" s="93"/>
      <c r="K57" s="54"/>
      <c r="L57" s="152"/>
      <c r="M57" s="152"/>
      <c r="N57" s="152"/>
      <c r="O57" s="152"/>
      <c r="P57" s="164">
        <f>P56*100</f>
        <v>3613.1164190272543</v>
      </c>
      <c r="Q57" s="152" t="s">
        <v>157</v>
      </c>
      <c r="R57" s="55"/>
      <c r="S57" s="152"/>
      <c r="T57" s="165">
        <f>P57/9.8/1000</f>
        <v>0.36868534888033205</v>
      </c>
      <c r="U57" s="152" t="s">
        <v>158</v>
      </c>
      <c r="V57" s="55"/>
      <c r="W57" s="55"/>
      <c r="X57" s="55"/>
      <c r="Y57" s="55"/>
      <c r="Z57" s="55"/>
      <c r="AA57" s="55"/>
      <c r="AB57" s="55"/>
      <c r="AC57" s="2"/>
      <c r="AD57" s="2"/>
      <c r="AE57" s="2"/>
    </row>
    <row r="58" spans="1:31" ht="13.5">
      <c r="A58" s="141"/>
      <c r="B58" s="141"/>
      <c r="C58" s="141"/>
      <c r="D58" s="141"/>
      <c r="E58" s="141"/>
      <c r="F58" s="141"/>
      <c r="G58" s="141"/>
      <c r="H58" s="141"/>
      <c r="I58" s="141"/>
      <c r="J58" s="93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2"/>
      <c r="AD58" s="2"/>
      <c r="AE58" s="2"/>
    </row>
    <row r="59" spans="1:31" ht="13.5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2"/>
      <c r="AD59" s="2"/>
      <c r="AE59" s="2"/>
    </row>
    <row r="60" spans="1:31" ht="13.5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2"/>
      <c r="AD60" s="2"/>
      <c r="AE60" s="2"/>
    </row>
    <row r="61" spans="1:31" ht="13.5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2"/>
      <c r="AD61" s="2"/>
      <c r="AE61" s="2"/>
    </row>
    <row r="62" spans="1:31" ht="13.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2"/>
      <c r="AD62" s="2"/>
      <c r="AE62" s="2"/>
    </row>
    <row r="63" spans="1:31" ht="13.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2"/>
      <c r="AD63" s="2"/>
      <c r="AE63" s="2"/>
    </row>
    <row r="64" spans="1:31" ht="14.25" thickBo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 t="s">
        <v>159</v>
      </c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2"/>
      <c r="AD64" s="2"/>
      <c r="AE64" s="2"/>
    </row>
    <row r="65" spans="1:31" ht="13.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172" t="s">
        <v>160</v>
      </c>
      <c r="M65" s="173"/>
      <c r="N65" s="174" t="s">
        <v>161</v>
      </c>
      <c r="O65" s="173"/>
      <c r="P65" s="173"/>
      <c r="Q65" s="175"/>
      <c r="R65" s="176" t="s">
        <v>162</v>
      </c>
      <c r="S65" s="176"/>
      <c r="T65" s="177"/>
      <c r="U65" s="55"/>
      <c r="V65" s="55"/>
      <c r="W65" s="55"/>
      <c r="X65" s="55"/>
      <c r="Y65" s="55"/>
      <c r="Z65" s="55"/>
      <c r="AA65" s="55"/>
      <c r="AB65" s="55"/>
      <c r="AC65" s="2"/>
      <c r="AD65" s="2"/>
      <c r="AE65" s="2"/>
    </row>
    <row r="66" spans="1:31" ht="13.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178" t="s">
        <v>163</v>
      </c>
      <c r="M66" s="179"/>
      <c r="N66" s="180" t="s">
        <v>164</v>
      </c>
      <c r="O66" s="181" t="s">
        <v>165</v>
      </c>
      <c r="P66" s="182" t="s">
        <v>166</v>
      </c>
      <c r="Q66" s="183"/>
      <c r="R66" s="179" t="s">
        <v>165</v>
      </c>
      <c r="S66" s="182" t="s">
        <v>166</v>
      </c>
      <c r="T66" s="183"/>
      <c r="U66" s="55"/>
      <c r="V66" s="55"/>
      <c r="W66" s="55"/>
      <c r="X66" s="55"/>
      <c r="Y66" s="55"/>
      <c r="Z66" s="55"/>
      <c r="AA66" s="55"/>
      <c r="AB66" s="55"/>
      <c r="AC66" s="2"/>
      <c r="AD66" s="2"/>
      <c r="AE66" s="2"/>
    </row>
    <row r="67" spans="1:31" ht="14.25" thickBo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184" t="s">
        <v>167</v>
      </c>
      <c r="M67" s="185"/>
      <c r="N67" s="184" t="s">
        <v>168</v>
      </c>
      <c r="O67" s="186" t="s">
        <v>169</v>
      </c>
      <c r="P67" s="187" t="s">
        <v>170</v>
      </c>
      <c r="Q67" s="188"/>
      <c r="R67" s="185" t="s">
        <v>168</v>
      </c>
      <c r="S67" s="187" t="s">
        <v>170</v>
      </c>
      <c r="T67" s="188"/>
      <c r="U67" s="55"/>
      <c r="V67" s="55"/>
      <c r="W67" s="55"/>
      <c r="X67" s="55"/>
      <c r="Y67" s="55"/>
      <c r="Z67" s="55"/>
      <c r="AA67" s="55"/>
      <c r="AB67" s="55"/>
      <c r="AC67" s="2"/>
      <c r="AD67" s="2"/>
      <c r="AE67" s="2"/>
    </row>
    <row r="68" spans="1:31" ht="13.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2"/>
      <c r="AD68" s="2"/>
      <c r="AE68" s="2"/>
    </row>
    <row r="69" spans="1:31" ht="13.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2"/>
      <c r="AD69" s="2"/>
      <c r="AE69" s="2"/>
    </row>
    <row r="70" spans="1:31" ht="13.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2"/>
      <c r="AD70" s="2"/>
      <c r="AE70" s="2"/>
    </row>
    <row r="71" spans="1:31" ht="13.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2"/>
      <c r="AD71" s="2"/>
      <c r="AE71" s="2"/>
    </row>
    <row r="72" spans="1:31" ht="13.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2"/>
      <c r="AD72" s="2"/>
      <c r="AE72" s="2"/>
    </row>
    <row r="73" spans="1:31" ht="13.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2"/>
      <c r="AD73" s="2"/>
      <c r="AE73" s="2"/>
    </row>
    <row r="74" spans="1:31" ht="13.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2"/>
      <c r="AD74" s="2"/>
      <c r="AE74" s="2"/>
    </row>
    <row r="75" spans="1:31" ht="13.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2"/>
      <c r="AD75" s="2"/>
      <c r="AE75" s="2"/>
    </row>
    <row r="76" spans="1:31" ht="13.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2"/>
      <c r="AD76" s="2"/>
      <c r="AE76" s="2"/>
    </row>
    <row r="77" spans="1:31" ht="13.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2"/>
      <c r="AD77" s="2"/>
      <c r="AE77" s="2"/>
    </row>
    <row r="78" spans="1:31" ht="13.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2"/>
      <c r="AD78" s="2"/>
      <c r="AE78" s="2"/>
    </row>
    <row r="79" spans="1:31" ht="13.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2"/>
      <c r="AD79" s="2"/>
      <c r="AE79" s="2"/>
    </row>
    <row r="80" spans="1:31" ht="13.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2"/>
      <c r="AD80" s="2"/>
      <c r="AE80" s="2"/>
    </row>
    <row r="81" spans="1:31" ht="13.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2"/>
      <c r="AD81" s="2"/>
      <c r="AE81" s="2"/>
    </row>
    <row r="82" spans="1:31" ht="13.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2"/>
      <c r="AD82" s="2"/>
      <c r="AE82" s="2"/>
    </row>
    <row r="83" spans="1:31" ht="13.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2"/>
      <c r="AD83" s="2"/>
      <c r="AE83" s="2"/>
    </row>
    <row r="84" spans="1:31" ht="13.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2"/>
      <c r="AD84" s="2"/>
      <c r="AE84" s="2"/>
    </row>
    <row r="85" spans="1:31" ht="13.5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2"/>
      <c r="AD85" s="2"/>
      <c r="AE85" s="2"/>
    </row>
    <row r="86" spans="1:31" ht="13.5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2"/>
      <c r="AD86" s="2"/>
      <c r="AE86" s="2"/>
    </row>
    <row r="87" spans="1:31" ht="13.5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2"/>
      <c r="AD87" s="2"/>
      <c r="AE87" s="2"/>
    </row>
    <row r="88" spans="1:31" ht="13.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2"/>
      <c r="AD88" s="2"/>
      <c r="AE88" s="2"/>
    </row>
    <row r="89" spans="1:31" ht="13.5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2"/>
      <c r="AD89" s="2"/>
      <c r="AE89" s="2"/>
    </row>
    <row r="90" spans="1:31" ht="13.5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2"/>
      <c r="AD90" s="2"/>
      <c r="AE90" s="2"/>
    </row>
    <row r="91" spans="1:31" ht="13.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2"/>
      <c r="AD91" s="2"/>
      <c r="AE91" s="2"/>
    </row>
    <row r="92" spans="1:31" ht="13.5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2"/>
      <c r="AD92" s="2"/>
      <c r="AE92" s="2"/>
    </row>
    <row r="93" spans="1:31" ht="13.5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2"/>
      <c r="AD93" s="2"/>
      <c r="AE93" s="2"/>
    </row>
    <row r="94" spans="1:31" ht="13.5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2"/>
      <c r="AD94" s="2"/>
      <c r="AE94" s="2"/>
    </row>
    <row r="95" spans="1:31" ht="13.5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2"/>
      <c r="AD95" s="2"/>
      <c r="AE95" s="2"/>
    </row>
    <row r="96" spans="1:31" ht="13.5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2"/>
      <c r="AD96" s="2"/>
      <c r="AE96" s="2"/>
    </row>
    <row r="97" spans="1:31" ht="13.5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2"/>
      <c r="AD97" s="2"/>
      <c r="AE97" s="2"/>
    </row>
    <row r="98" spans="1:31" ht="13.5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2"/>
      <c r="AD98" s="2"/>
      <c r="AE98" s="2"/>
    </row>
    <row r="99" spans="1:31" ht="13.5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2"/>
      <c r="AD99" s="2"/>
      <c r="AE99" s="2"/>
    </row>
    <row r="100" spans="1:31" ht="13.5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2"/>
      <c r="AD100" s="2"/>
      <c r="AE100" s="2"/>
    </row>
    <row r="101" spans="1:31" ht="13.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2"/>
      <c r="AD101" s="2"/>
      <c r="AE101" s="2"/>
    </row>
    <row r="102" spans="1:31" ht="13.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2"/>
      <c r="AD102" s="2"/>
      <c r="AE102" s="2"/>
    </row>
    <row r="103" spans="1:31" ht="13.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2"/>
      <c r="AD103" s="2"/>
      <c r="AE103" s="2"/>
    </row>
    <row r="104" spans="1:31" ht="13.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2"/>
      <c r="AD104" s="2"/>
      <c r="AE104" s="2"/>
    </row>
    <row r="105" spans="1:31" ht="13.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2"/>
      <c r="AD105" s="2"/>
      <c r="AE105" s="2"/>
    </row>
    <row r="106" spans="1:31" ht="13.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2"/>
      <c r="AD106" s="2"/>
      <c r="AE106" s="2"/>
    </row>
    <row r="107" spans="1:31" ht="13.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2"/>
      <c r="AD107" s="2"/>
      <c r="AE107" s="2"/>
    </row>
    <row r="108" spans="1:31" ht="13.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2"/>
      <c r="AD108" s="2"/>
      <c r="AE108" s="2"/>
    </row>
    <row r="109" spans="1:31" ht="13.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2"/>
      <c r="AD109" s="2"/>
      <c r="AE109" s="2"/>
    </row>
    <row r="110" spans="1:31" ht="13.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2"/>
      <c r="AD110" s="2"/>
      <c r="AE110" s="2"/>
    </row>
    <row r="111" spans="1:31" ht="13.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2"/>
      <c r="AD111" s="2"/>
      <c r="AE111" s="2"/>
    </row>
    <row r="112" spans="1:31" ht="13.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2"/>
      <c r="AD112" s="2"/>
      <c r="AE112" s="2"/>
    </row>
    <row r="113" spans="1:31" ht="13.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2"/>
      <c r="AD113" s="2"/>
      <c r="AE113" s="2"/>
    </row>
    <row r="114" spans="1:31" ht="13.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2"/>
      <c r="AD114" s="2"/>
      <c r="AE114" s="2"/>
    </row>
    <row r="115" spans="1:31" ht="13.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2"/>
      <c r="AD115" s="2"/>
      <c r="AE115" s="2"/>
    </row>
    <row r="116" spans="1:31" ht="13.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2"/>
      <c r="AD116" s="2"/>
      <c r="AE116" s="2"/>
    </row>
    <row r="117" spans="1:31" ht="13.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2"/>
      <c r="AD117" s="2"/>
      <c r="AE117" s="2"/>
    </row>
    <row r="118" spans="1:31" ht="13.5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2"/>
      <c r="AD118" s="2"/>
      <c r="AE118" s="2"/>
    </row>
    <row r="119" spans="1:31" ht="13.5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2"/>
      <c r="AD119" s="2"/>
      <c r="AE119" s="2"/>
    </row>
    <row r="120" spans="1:31" ht="13.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2"/>
      <c r="AD120" s="2"/>
      <c r="AE120" s="2"/>
    </row>
    <row r="121" spans="1:31" ht="13.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2"/>
      <c r="AD121" s="2"/>
      <c r="AE121" s="2"/>
    </row>
    <row r="122" spans="1:31" ht="13.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2"/>
      <c r="AD122" s="2"/>
      <c r="AE122" s="2"/>
    </row>
    <row r="123" spans="1:31" ht="13.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2"/>
      <c r="AD123" s="2"/>
      <c r="AE123" s="2"/>
    </row>
    <row r="124" spans="1:31" ht="13.5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2"/>
      <c r="AD124" s="2"/>
      <c r="AE124" s="2"/>
    </row>
    <row r="125" spans="1:31" ht="13.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2"/>
      <c r="AD125" s="2"/>
      <c r="AE125" s="2"/>
    </row>
    <row r="126" spans="1:31" ht="13.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2"/>
      <c r="AD126" s="2"/>
      <c r="AE126" s="2"/>
    </row>
    <row r="127" spans="1:31" ht="13.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2"/>
      <c r="AD127" s="2"/>
      <c r="AE127" s="2"/>
    </row>
    <row r="128" spans="1:31" ht="13.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2"/>
      <c r="AD128" s="2"/>
      <c r="AE128" s="2"/>
    </row>
    <row r="129" spans="1:31" ht="13.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2"/>
      <c r="AD129" s="2"/>
      <c r="AE129" s="2"/>
    </row>
    <row r="130" spans="1:31" ht="13.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2"/>
      <c r="AD130" s="2"/>
      <c r="AE130" s="2"/>
    </row>
    <row r="131" spans="1:31" ht="13.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2"/>
      <c r="AD131" s="2"/>
      <c r="AE131" s="2"/>
    </row>
    <row r="132" spans="1:31" ht="13.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2"/>
      <c r="AD132" s="2"/>
      <c r="AE132" s="2"/>
    </row>
    <row r="133" spans="1:31" ht="13.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2"/>
      <c r="AD133" s="2"/>
      <c r="AE133" s="2"/>
    </row>
    <row r="134" spans="1:31" ht="13.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2"/>
      <c r="AD134" s="2"/>
      <c r="AE134" s="2"/>
    </row>
    <row r="135" spans="1:31" ht="13.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2"/>
      <c r="AD135" s="2"/>
      <c r="AE135" s="2"/>
    </row>
    <row r="136" spans="1:31" ht="13.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2"/>
      <c r="AD136" s="2"/>
      <c r="AE136" s="2"/>
    </row>
    <row r="137" spans="1:31" ht="13.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2"/>
      <c r="AD137" s="2"/>
      <c r="AE137" s="2"/>
    </row>
    <row r="138" spans="1:31" ht="13.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2"/>
      <c r="AD138" s="2"/>
      <c r="AE138" s="2"/>
    </row>
    <row r="139" spans="1:31" ht="13.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2"/>
      <c r="AD139" s="2"/>
      <c r="AE139" s="2"/>
    </row>
    <row r="140" spans="1:31" ht="13.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2"/>
      <c r="AD140" s="2"/>
      <c r="AE140" s="2"/>
    </row>
    <row r="141" spans="1:31" ht="13.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2"/>
      <c r="AD141" s="2"/>
      <c r="AE141" s="2"/>
    </row>
    <row r="142" spans="1:31" ht="13.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2"/>
      <c r="AD142" s="2"/>
      <c r="AE142" s="2"/>
    </row>
    <row r="143" spans="1:31" ht="13.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2"/>
      <c r="AD143" s="2"/>
      <c r="AE143" s="2"/>
    </row>
    <row r="144" spans="1:31" ht="13.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2"/>
      <c r="AD144" s="2"/>
      <c r="AE144" s="2"/>
    </row>
    <row r="145" spans="1:31" ht="13.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2"/>
      <c r="AD145" s="2"/>
      <c r="AE145" s="2"/>
    </row>
    <row r="146" spans="1:31" ht="13.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2"/>
      <c r="AD146" s="2"/>
      <c r="AE146" s="2"/>
    </row>
    <row r="147" spans="1:31" ht="13.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2"/>
      <c r="AD147" s="2"/>
      <c r="AE147" s="2"/>
    </row>
    <row r="148" spans="1:31" ht="13.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2"/>
      <c r="AD148" s="2"/>
      <c r="AE148" s="2"/>
    </row>
    <row r="149" spans="1:31" ht="13.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2"/>
      <c r="AD149" s="2"/>
      <c r="AE149" s="2"/>
    </row>
    <row r="150" spans="1:31" ht="13.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2"/>
      <c r="AD150" s="2"/>
      <c r="AE150" s="2"/>
    </row>
    <row r="151" spans="1:31" ht="13.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2"/>
      <c r="AD151" s="2"/>
      <c r="AE151" s="2"/>
    </row>
    <row r="152" spans="1:31" ht="13.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2"/>
      <c r="AD152" s="2"/>
      <c r="AE152" s="2"/>
    </row>
    <row r="153" spans="1:31" ht="13.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2"/>
      <c r="AD153" s="2"/>
      <c r="AE153" s="2"/>
    </row>
    <row r="154" spans="1:31" ht="13.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2"/>
      <c r="AD154" s="2"/>
      <c r="AE154" s="2"/>
    </row>
    <row r="155" spans="1:31" ht="13.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2"/>
      <c r="AD155" s="2"/>
      <c r="AE155" s="2"/>
    </row>
    <row r="156" spans="1:31" ht="13.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2"/>
      <c r="AD156" s="2"/>
      <c r="AE156" s="2"/>
    </row>
    <row r="157" spans="1:31" ht="13.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2"/>
      <c r="AD157" s="2"/>
      <c r="AE157" s="2"/>
    </row>
    <row r="158" spans="1:31" ht="13.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2"/>
      <c r="AD158" s="2"/>
      <c r="AE158" s="2"/>
    </row>
    <row r="159" spans="1:31" ht="13.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2"/>
      <c r="AD159" s="2"/>
      <c r="AE159" s="2"/>
    </row>
    <row r="160" spans="1:31" ht="13.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2"/>
      <c r="AD160" s="2"/>
      <c r="AE160" s="2"/>
    </row>
    <row r="161" spans="1:31" ht="13.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2"/>
      <c r="AD161" s="2"/>
      <c r="AE161" s="2"/>
    </row>
    <row r="162" spans="1:31" ht="13.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2"/>
      <c r="AD162" s="2"/>
      <c r="AE162" s="2"/>
    </row>
    <row r="163" spans="1:31" ht="13.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2"/>
      <c r="AD163" s="2"/>
      <c r="AE163" s="2"/>
    </row>
    <row r="164" spans="1:31" ht="13.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2"/>
      <c r="AD164" s="2"/>
      <c r="AE164" s="2"/>
    </row>
    <row r="165" spans="1:31" ht="13.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2"/>
      <c r="AD165" s="2"/>
      <c r="AE165" s="2"/>
    </row>
    <row r="166" spans="1:31" ht="13.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2"/>
      <c r="AD166" s="2"/>
      <c r="AE166" s="2"/>
    </row>
    <row r="167" spans="1:31" ht="13.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2"/>
      <c r="AD167" s="2"/>
      <c r="AE167" s="2"/>
    </row>
    <row r="168" spans="1:31" ht="13.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2"/>
      <c r="AD168" s="2"/>
      <c r="AE168" s="2"/>
    </row>
    <row r="169" spans="1:31" ht="13.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2"/>
      <c r="AD169" s="2"/>
      <c r="AE169" s="2"/>
    </row>
    <row r="170" spans="1:31" ht="13.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2"/>
      <c r="AD170" s="2"/>
      <c r="AE170" s="2"/>
    </row>
    <row r="171" spans="1:31" ht="13.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2"/>
      <c r="AD171" s="2"/>
      <c r="AE171" s="2"/>
    </row>
    <row r="172" spans="1:31" ht="13.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2"/>
      <c r="AD172" s="2"/>
      <c r="AE172" s="2"/>
    </row>
    <row r="173" spans="1:31" ht="13.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2"/>
      <c r="AD173" s="2"/>
      <c r="AE173" s="2"/>
    </row>
    <row r="174" spans="1:31" ht="13.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2"/>
      <c r="AD174" s="2"/>
      <c r="AE174" s="2"/>
    </row>
    <row r="175" spans="1:31" ht="13.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2"/>
      <c r="AD175" s="2"/>
      <c r="AE175" s="2"/>
    </row>
    <row r="176" spans="1:31" ht="13.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2"/>
      <c r="AD176" s="2"/>
      <c r="AE176" s="2"/>
    </row>
    <row r="177" spans="1:31" ht="13.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2"/>
      <c r="AD177" s="2"/>
      <c r="AE177" s="2"/>
    </row>
    <row r="178" spans="1:31" ht="13.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2"/>
      <c r="AD178" s="2"/>
      <c r="AE178" s="2"/>
    </row>
    <row r="179" spans="1:31" ht="13.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2"/>
      <c r="AD179" s="2"/>
      <c r="AE179" s="2"/>
    </row>
    <row r="180" spans="1:31" ht="13.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2"/>
      <c r="AD180" s="2"/>
      <c r="AE180" s="2"/>
    </row>
    <row r="181" spans="1:31" ht="13.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2"/>
      <c r="AD181" s="2"/>
      <c r="AE181" s="2"/>
    </row>
    <row r="182" spans="1:31" ht="13.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2"/>
      <c r="AD182" s="2"/>
      <c r="AE182" s="2"/>
    </row>
    <row r="183" spans="1:31" ht="13.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2"/>
      <c r="AD183" s="2"/>
      <c r="AE183" s="2"/>
    </row>
    <row r="184" spans="1:31" ht="13.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2"/>
      <c r="AD184" s="2"/>
      <c r="AE184" s="2"/>
    </row>
    <row r="185" spans="1:31" ht="13.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3.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3.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3.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3.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3.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3.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3.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3.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3.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3.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3.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3.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3.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3.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3.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3.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3.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3.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3.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3.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3.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3.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3.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3.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3.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</sheetData>
  <printOptions/>
  <pageMargins left="0.75" right="0.75" top="1" bottom="1" header="0.512" footer="0.512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太平工業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Y-WATABE</dc:creator>
  <cp:keywords/>
  <dc:description/>
  <cp:lastModifiedBy>渡部泰一</cp:lastModifiedBy>
  <cp:lastPrinted>2007-04-10T05:23:00Z</cp:lastPrinted>
  <dcterms:created xsi:type="dcterms:W3CDTF">2005-04-25T03:34:11Z</dcterms:created>
  <dcterms:modified xsi:type="dcterms:W3CDTF">2007-05-12T11:47:37Z</dcterms:modified>
  <cp:category/>
  <cp:version/>
  <cp:contentType/>
  <cp:contentStatus/>
</cp:coreProperties>
</file>