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70" windowHeight="5430" activeTab="0"/>
  </bookViews>
  <sheets>
    <sheet name="多荷重固定端長期" sheetId="1" r:id="rId1"/>
    <sheet name="多荷重固定端短期" sheetId="2" r:id="rId2"/>
    <sheet name="許容応力度計算" sheetId="3" r:id="rId3"/>
  </sheets>
  <definedNames>
    <definedName name="_xlnm.Print_Area" localSheetId="0">'多荷重固定端長期'!$A$1:$M$35</definedName>
  </definedNames>
  <calcPr fullCalcOnLoad="1"/>
</workbook>
</file>

<file path=xl/comments3.xml><?xml version="1.0" encoding="utf-8"?>
<comments xmlns="http://schemas.openxmlformats.org/spreadsheetml/2006/main">
  <authors>
    <author>渡部泰一</author>
  </authors>
  <commentList>
    <comment ref="E7" authorId="0">
      <text>
        <r>
          <rPr>
            <b/>
            <sz val="9"/>
            <rFont val="ＭＳ Ｐゴシック"/>
            <family val="3"/>
          </rPr>
          <t>（Ｌ64）参照</t>
        </r>
      </text>
    </comment>
    <comment ref="N16" authorId="0">
      <text>
        <r>
          <rPr>
            <b/>
            <sz val="9"/>
            <rFont val="ＭＳ Ｐゴシック"/>
            <family val="3"/>
          </rPr>
          <t>右の表から数値を入力します。</t>
        </r>
      </text>
    </comment>
    <comment ref="E35" authorId="0">
      <text>
        <r>
          <rPr>
            <b/>
            <sz val="9"/>
            <rFont val="ＭＳ Ｐゴシック"/>
            <family val="3"/>
          </rPr>
          <t>（Ｌ64）参照</t>
        </r>
      </text>
    </comment>
    <comment ref="N44" authorId="0">
      <text>
        <r>
          <rPr>
            <b/>
            <sz val="9"/>
            <rFont val="ＭＳ Ｐゴシック"/>
            <family val="3"/>
          </rPr>
          <t>右の表から数値を入力します。</t>
        </r>
      </text>
    </comment>
  </commentList>
</comments>
</file>

<file path=xl/sharedStrings.xml><?xml version="1.0" encoding="utf-8"?>
<sst xmlns="http://schemas.openxmlformats.org/spreadsheetml/2006/main" count="416" uniqueCount="181">
  <si>
    <t>荷重名</t>
  </si>
  <si>
    <t>集中荷重</t>
  </si>
  <si>
    <t>等分布荷重</t>
  </si>
  <si>
    <t>ＴＯＴＡＬ　＝集中荷重+等分布荷重</t>
  </si>
  <si>
    <t>左端</t>
  </si>
  <si>
    <t>集中荷重の荷重位置のせん断力は荷重の左側の値です。</t>
  </si>
  <si>
    <t>ｍ</t>
  </si>
  <si>
    <t>（ＫN）</t>
  </si>
  <si>
    <t>中央</t>
  </si>
  <si>
    <t>右端</t>
  </si>
  <si>
    <t>∑ω</t>
  </si>
  <si>
    <t>両端固定端</t>
  </si>
  <si>
    <t>スパン</t>
  </si>
  <si>
    <t>ｍ</t>
  </si>
  <si>
    <t>Ｅ＝</t>
  </si>
  <si>
    <t>ｃｍ4</t>
  </si>
  <si>
    <t>P</t>
  </si>
  <si>
    <t>L</t>
  </si>
  <si>
    <t>a</t>
  </si>
  <si>
    <t>b</t>
  </si>
  <si>
    <t>Ｍ</t>
  </si>
  <si>
    <t>Ｑ</t>
  </si>
  <si>
    <t>⊿</t>
  </si>
  <si>
    <t>Ｑ</t>
  </si>
  <si>
    <t>⊿</t>
  </si>
  <si>
    <t>Ｍ</t>
  </si>
  <si>
    <t>ＫＮ・ｍ</t>
  </si>
  <si>
    <t>ＫＮ</t>
  </si>
  <si>
    <t>ｍｍ</t>
  </si>
  <si>
    <t>ω</t>
  </si>
  <si>
    <t>L</t>
  </si>
  <si>
    <t>（ＫＮ/ｍ）</t>
  </si>
  <si>
    <t>ｍ</t>
  </si>
  <si>
    <t>ＫＮ</t>
  </si>
  <si>
    <t>Ｑ</t>
  </si>
  <si>
    <t>ｍｍ</t>
  </si>
  <si>
    <t>⊿</t>
  </si>
  <si>
    <t>Ｍ</t>
  </si>
  <si>
    <t>Ｑ</t>
  </si>
  <si>
    <t>⊿</t>
  </si>
  <si>
    <t>Ｅ＝にヤング係数を入力します。</t>
  </si>
  <si>
    <t>Ｉ＝梁の断面２次モーメントを入力します。</t>
  </si>
  <si>
    <t>Ｈ～Ｎ行の左端からの距離の数値は自由に変えられます。</t>
  </si>
  <si>
    <t>ａに集中荷重の位置（左側より）を入力します。</t>
  </si>
  <si>
    <t>荷重Ｐに集中荷重の大きさを入力します。</t>
  </si>
  <si>
    <t>最大値</t>
  </si>
  <si>
    <t>ＫＮ/ｍ2　Ｉ＝</t>
  </si>
  <si>
    <t>　　　最大撓み 1/</t>
  </si>
  <si>
    <t>■梁の設計</t>
  </si>
  <si>
    <t>長期荷重</t>
  </si>
  <si>
    <t>CASE-01</t>
  </si>
  <si>
    <t>梁記号</t>
  </si>
  <si>
    <t>Ｉ型鋼も使えます</t>
  </si>
  <si>
    <t>使用材料</t>
  </si>
  <si>
    <t>鋼材種別</t>
  </si>
  <si>
    <t>SS400</t>
  </si>
  <si>
    <t>Ｈ</t>
  </si>
  <si>
    <t>Ｂ</t>
  </si>
  <si>
    <t>t1</t>
  </si>
  <si>
    <t>t2</t>
  </si>
  <si>
    <t>ｒ</t>
  </si>
  <si>
    <t>面積</t>
  </si>
  <si>
    <t>重量</t>
  </si>
  <si>
    <t>断面2次M</t>
  </si>
  <si>
    <t>断面2次半径</t>
  </si>
  <si>
    <t>断面係数</t>
  </si>
  <si>
    <t>ｉｙ</t>
  </si>
  <si>
    <t>ｉｙ・ｈ/Ａｆ</t>
  </si>
  <si>
    <t>基準強度Ｆ</t>
  </si>
  <si>
    <t>Ｎ/mm2</t>
  </si>
  <si>
    <t>ｍｍ</t>
  </si>
  <si>
    <t>cm2</t>
  </si>
  <si>
    <t>ｋｇ/ｍ</t>
  </si>
  <si>
    <t>ｃｍ4</t>
  </si>
  <si>
    <t>ｃｍ</t>
  </si>
  <si>
    <t>ｃｍ3</t>
  </si>
  <si>
    <t>材長</t>
  </si>
  <si>
    <t>cm</t>
  </si>
  <si>
    <t>拘束倍率</t>
  </si>
  <si>
    <t>ｌｂ圧縮ﾌﾗﾝｼﾞの支点間距離</t>
  </si>
  <si>
    <t>ｃｍ</t>
  </si>
  <si>
    <t>反り定数</t>
  </si>
  <si>
    <t>ｻﾝﾌﾞﾅﾝ定数</t>
  </si>
  <si>
    <t>Ｍy</t>
  </si>
  <si>
    <t>Ｍe</t>
  </si>
  <si>
    <t>λb</t>
  </si>
  <si>
    <t>弾性細長限界比</t>
  </si>
  <si>
    <t>せん断面積</t>
  </si>
  <si>
    <t>Nmax</t>
  </si>
  <si>
    <t>Ｎ （強軸曲）</t>
  </si>
  <si>
    <t>Mmax</t>
  </si>
  <si>
    <t>Ｎ・cｍ</t>
  </si>
  <si>
    <t>Qmax</t>
  </si>
  <si>
    <t>Ｎ</t>
  </si>
  <si>
    <t>Iｗ　　ｃｍ6</t>
  </si>
  <si>
    <t>　Ｊ　　ｃｍ4</t>
  </si>
  <si>
    <t>Ｎ・ｃｍ</t>
  </si>
  <si>
    <t>eλb　</t>
  </si>
  <si>
    <t>mm2</t>
  </si>
  <si>
    <t>　 （弱軸曲）</t>
  </si>
  <si>
    <t>λb≦pλb　の時</t>
  </si>
  <si>
    <t>ｆb＝F/ν</t>
  </si>
  <si>
    <t>Ｎ/mm2</t>
  </si>
  <si>
    <t>補剛区間内で曲げモーメントが直線的に変化</t>
  </si>
  <si>
    <t>pλb＜λb≦eλb　の時</t>
  </si>
  <si>
    <t>（Ｎ18）セル代入値</t>
  </si>
  <si>
    <t>ｆｂ＝｛1-0.4（λb－pλb）/（eλb－pλb）｝F/ν</t>
  </si>
  <si>
    <t>Ｎ/mm2</t>
  </si>
  <si>
    <t>圧縮フランジの支点間距離　ｌｂ</t>
  </si>
  <si>
    <t>cm</t>
  </si>
  <si>
    <t>eλb＜λb　の時</t>
  </si>
  <si>
    <t>Ｍ1：端部強軸曲げモーメント大きい方</t>
  </si>
  <si>
    <t>Ｎ・cm</t>
  </si>
  <si>
    <t>ｆｂ＝1/λb＾2・Ｆ/2.17</t>
  </si>
  <si>
    <t>Ｎ/mm2</t>
  </si>
  <si>
    <t>Ｍ2：端部強軸曲げモーメント小さい方</t>
  </si>
  <si>
    <t>（Ｎ18）セル代入値参照</t>
  </si>
  <si>
    <t>許容圧縮応力度（引張マイナス）</t>
  </si>
  <si>
    <t>許容曲げ応力度</t>
  </si>
  <si>
    <t>許容せん断応力度</t>
  </si>
  <si>
    <t>1.75+1.05（Ｍ2/Ｍ1）+0.3（Ｍ2/Ｍ1）＾2</t>
  </si>
  <si>
    <t>ｆｃ＝</t>
  </si>
  <si>
    <t>Ｎ/mm2</t>
  </si>
  <si>
    <t>fb(強軸）=</t>
  </si>
  <si>
    <t>Ｎ/mm2</t>
  </si>
  <si>
    <t>ｆｓ=</t>
  </si>
  <si>
    <t>Ｃ：</t>
  </si>
  <si>
    <t>fb(弱軸）=</t>
  </si>
  <si>
    <t>　　　　　　　　　　　　　　　　　　　　　　　　　　　　　　　　</t>
  </si>
  <si>
    <t>pλb＝0.6+0.3（Ｍ2/Ｍ1）</t>
  </si>
  <si>
    <t>補剛区間で曲げモーメントが最大</t>
  </si>
  <si>
    <t>応力度（引張マイナス）</t>
  </si>
  <si>
    <t>ν＝3/2+2/3（λb/eλb）^2</t>
  </si>
  <si>
    <t>σc＝</t>
  </si>
  <si>
    <t>Ｎ/mm2</t>
  </si>
  <si>
    <t>σｂａ（強軸）＝</t>
  </si>
  <si>
    <t>Ｎ/mm2</t>
  </si>
  <si>
    <t>τmax＝</t>
  </si>
  <si>
    <t>σｂc（弱軸）＝</t>
  </si>
  <si>
    <t>4)許容圧縮応力度</t>
  </si>
  <si>
    <t>λ＝ｌｋ/i ＝</t>
  </si>
  <si>
    <t xml:space="preserve">   λ：圧縮材の細長比     lk：座屈長さ</t>
  </si>
  <si>
    <t>i：座屈軸についての断面２次半径</t>
  </si>
  <si>
    <t>判定</t>
  </si>
  <si>
    <t>圧縮+曲げ</t>
  </si>
  <si>
    <t>σc/fc+σba/ｆｂ1+σｂｃ/ｆｂ2＝</t>
  </si>
  <si>
    <t>Λ：細長限界比</t>
  </si>
  <si>
    <t>引張り</t>
  </si>
  <si>
    <t>（ｔαｂ1+tσb2-αｃ）/ｆt＝</t>
  </si>
  <si>
    <t>Λ＝√（π＾2*Ｅ）/0.6Ｆ＝</t>
  </si>
  <si>
    <t>ν＝3/2+2/3（λ/Λ）＾2=</t>
  </si>
  <si>
    <t>せん断</t>
  </si>
  <si>
    <t>τmax/ｆｓ＝</t>
  </si>
  <si>
    <t xml:space="preserve">       ａ）全断面積について</t>
  </si>
  <si>
    <t>λ≦Λのとき</t>
  </si>
  <si>
    <t>ｆｃ＝｛1-0.4（λ/Λ）~2｝F/ν</t>
  </si>
  <si>
    <t>λ＞Λのとき</t>
  </si>
  <si>
    <t>ｆｃ＝0.277Ｆ/（λ/Λ）＾2</t>
  </si>
  <si>
    <t>本条件は</t>
  </si>
  <si>
    <t>ｆｃ＝</t>
  </si>
  <si>
    <t>Ｎ/ｍｍ2</t>
  </si>
  <si>
    <t>短期荷重</t>
  </si>
  <si>
    <t>風</t>
  </si>
  <si>
    <t>Ｎ/ｃｍ2</t>
  </si>
  <si>
    <t>ton/cm2</t>
  </si>
  <si>
    <t>Ｎ/ｃｍ2</t>
  </si>
  <si>
    <t>ton/cm2</t>
  </si>
  <si>
    <t>拘束条件の倍率</t>
  </si>
  <si>
    <t>移動に対する条件</t>
  </si>
  <si>
    <t>拘　　束</t>
  </si>
  <si>
    <t>自由</t>
  </si>
  <si>
    <t>回転に対する条件</t>
  </si>
  <si>
    <t>両端自由</t>
  </si>
  <si>
    <t>両端拘束</t>
  </si>
  <si>
    <t>1端自由他端拘束</t>
  </si>
  <si>
    <t>ｌ×ｋ</t>
  </si>
  <si>
    <t>ｌ</t>
  </si>
  <si>
    <t>0.5ｌ</t>
  </si>
  <si>
    <t>0.7ｌ</t>
  </si>
  <si>
    <t>Ｍ＝</t>
  </si>
  <si>
    <t>Ｑ＝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</si>
</sst>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E+00"/>
    <numFmt numFmtId="178" formatCode="0.000_ "/>
    <numFmt numFmtId="179" formatCode="0.00000_ "/>
    <numFmt numFmtId="180" formatCode="0_ "/>
    <numFmt numFmtId="181" formatCode="0.0_ "/>
    <numFmt numFmtId="182" formatCode="0_);[Red]\(0\)"/>
    <numFmt numFmtId="183" formatCode="0.00_);[Red]\(0.00\)"/>
    <numFmt numFmtId="184" formatCode="#,##0.00_ "/>
    <numFmt numFmtId="185" formatCode="#,##0_ "/>
  </numFmts>
  <fonts count="11">
    <font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i/>
      <sz val="9"/>
      <name val="ＭＳ Ｐゴシック"/>
      <family val="3"/>
    </font>
    <font>
      <i/>
      <sz val="9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b/>
      <sz val="8"/>
      <name val="ＭＳ ゴシック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thin">
        <color indexed="48"/>
      </right>
      <top style="medium">
        <color indexed="48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 style="thin">
        <color indexed="40"/>
      </top>
      <bottom>
        <color indexed="63"/>
      </bottom>
    </border>
    <border>
      <left style="thin">
        <color indexed="48"/>
      </left>
      <right style="thin">
        <color indexed="48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medium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0"/>
      </top>
      <bottom style="medium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0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0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0"/>
      </bottom>
    </border>
    <border>
      <left style="thin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medium">
        <color indexed="48"/>
      </right>
      <top style="thin">
        <color indexed="40"/>
      </top>
      <bottom style="medium">
        <color indexed="48"/>
      </bottom>
    </border>
    <border>
      <left>
        <color indexed="63"/>
      </left>
      <right style="medium">
        <color indexed="48"/>
      </right>
      <top style="thin">
        <color indexed="40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40"/>
      </right>
      <top style="medium">
        <color indexed="48"/>
      </top>
      <bottom style="thin">
        <color indexed="40"/>
      </bottom>
    </border>
    <border>
      <left style="medium">
        <color indexed="48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12"/>
      </top>
      <bottom>
        <color indexed="63"/>
      </bottom>
    </border>
    <border>
      <left style="thin">
        <color indexed="48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48"/>
      </right>
      <top style="thin">
        <color indexed="12"/>
      </top>
      <bottom style="thin">
        <color indexed="12"/>
      </bottom>
    </border>
    <border>
      <left style="thin">
        <color indexed="48"/>
      </left>
      <right style="thin">
        <color indexed="48"/>
      </right>
      <top style="thin">
        <color indexed="12"/>
      </top>
      <bottom style="thin">
        <color indexed="12"/>
      </bottom>
    </border>
    <border>
      <left style="thin">
        <color indexed="48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76" fontId="3" fillId="3" borderId="2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176" fontId="3" fillId="3" borderId="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7" fontId="4" fillId="4" borderId="5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4" fillId="3" borderId="11" xfId="0" applyNumberFormat="1" applyFont="1" applyFill="1" applyBorder="1" applyAlignment="1" quotePrefix="1">
      <alignment horizontal="right" vertical="center"/>
    </xf>
    <xf numFmtId="176" fontId="4" fillId="5" borderId="11" xfId="0" applyNumberFormat="1" applyFont="1" applyFill="1" applyBorder="1" applyAlignment="1">
      <alignment vertical="center"/>
    </xf>
    <xf numFmtId="176" fontId="4" fillId="3" borderId="12" xfId="0" applyNumberFormat="1" applyFont="1" applyFill="1" applyBorder="1" applyAlignment="1">
      <alignment vertical="center"/>
    </xf>
    <xf numFmtId="176" fontId="4" fillId="4" borderId="9" xfId="0" applyNumberFormat="1" applyFont="1" applyFill="1" applyBorder="1" applyAlignment="1">
      <alignment vertical="center"/>
    </xf>
    <xf numFmtId="176" fontId="4" fillId="3" borderId="9" xfId="0" applyNumberFormat="1" applyFont="1" applyFill="1" applyBorder="1" applyAlignment="1">
      <alignment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4" borderId="14" xfId="0" applyNumberFormat="1" applyFont="1" applyFill="1" applyBorder="1" applyAlignment="1">
      <alignment horizontal="center" vertical="center"/>
    </xf>
    <xf numFmtId="176" fontId="4" fillId="3" borderId="13" xfId="0" applyNumberFormat="1" applyFont="1" applyFill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176" fontId="4" fillId="3" borderId="17" xfId="0" applyNumberFormat="1" applyFont="1" applyFill="1" applyBorder="1" applyAlignment="1">
      <alignment vertical="center"/>
    </xf>
    <xf numFmtId="176" fontId="4" fillId="3" borderId="18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176" fontId="4" fillId="3" borderId="10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176" fontId="4" fillId="3" borderId="20" xfId="0" applyNumberFormat="1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4" borderId="21" xfId="0" applyNumberFormat="1" applyFont="1" applyFill="1" applyBorder="1" applyAlignment="1">
      <alignment vertical="center"/>
    </xf>
    <xf numFmtId="176" fontId="4" fillId="3" borderId="21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3" borderId="0" xfId="0" applyNumberFormat="1" applyFont="1" applyFill="1" applyBorder="1" applyAlignment="1">
      <alignment vertical="center"/>
    </xf>
    <xf numFmtId="176" fontId="4" fillId="3" borderId="11" xfId="0" applyNumberFormat="1" applyFont="1" applyFill="1" applyBorder="1" applyAlignment="1">
      <alignment vertical="center"/>
    </xf>
    <xf numFmtId="176" fontId="4" fillId="3" borderId="19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176" fontId="4" fillId="2" borderId="22" xfId="0" applyNumberFormat="1" applyFont="1" applyFill="1" applyBorder="1" applyAlignment="1">
      <alignment vertical="center"/>
    </xf>
    <xf numFmtId="176" fontId="4" fillId="2" borderId="23" xfId="0" applyNumberFormat="1" applyFont="1" applyFill="1" applyBorder="1" applyAlignment="1">
      <alignment vertical="center"/>
    </xf>
    <xf numFmtId="176" fontId="4" fillId="2" borderId="23" xfId="0" applyNumberFormat="1" applyFont="1" applyFill="1" applyBorder="1" applyAlignment="1">
      <alignment horizontal="center" vertical="center"/>
    </xf>
    <xf numFmtId="176" fontId="4" fillId="2" borderId="17" xfId="0" applyNumberFormat="1" applyFont="1" applyFill="1" applyBorder="1" applyAlignment="1">
      <alignment vertical="center"/>
    </xf>
    <xf numFmtId="176" fontId="4" fillId="2" borderId="2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3" borderId="5" xfId="0" applyNumberFormat="1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176" fontId="4" fillId="3" borderId="25" xfId="0" applyNumberFormat="1" applyFont="1" applyFill="1" applyBorder="1" applyAlignment="1">
      <alignment vertical="center"/>
    </xf>
    <xf numFmtId="176" fontId="4" fillId="3" borderId="26" xfId="0" applyNumberFormat="1" applyFont="1" applyFill="1" applyBorder="1" applyAlignment="1">
      <alignment vertical="center"/>
    </xf>
    <xf numFmtId="176" fontId="4" fillId="3" borderId="27" xfId="0" applyNumberFormat="1" applyFont="1" applyFill="1" applyBorder="1" applyAlignment="1">
      <alignment vertical="center"/>
    </xf>
    <xf numFmtId="176" fontId="4" fillId="3" borderId="14" xfId="0" applyNumberFormat="1" applyFont="1" applyFill="1" applyBorder="1" applyAlignment="1">
      <alignment vertical="center"/>
    </xf>
    <xf numFmtId="176" fontId="4" fillId="3" borderId="28" xfId="0" applyNumberFormat="1" applyFont="1" applyFill="1" applyBorder="1" applyAlignment="1">
      <alignment vertical="center"/>
    </xf>
    <xf numFmtId="176" fontId="4" fillId="3" borderId="15" xfId="0" applyNumberFormat="1" applyFont="1" applyFill="1" applyBorder="1" applyAlignment="1">
      <alignment vertical="center"/>
    </xf>
    <xf numFmtId="176" fontId="4" fillId="3" borderId="29" xfId="0" applyNumberFormat="1" applyFont="1" applyFill="1" applyBorder="1" applyAlignment="1">
      <alignment vertical="center"/>
    </xf>
    <xf numFmtId="176" fontId="4" fillId="3" borderId="30" xfId="0" applyNumberFormat="1" applyFont="1" applyFill="1" applyBorder="1" applyAlignment="1">
      <alignment vertical="center"/>
    </xf>
    <xf numFmtId="176" fontId="3" fillId="3" borderId="1" xfId="0" applyNumberFormat="1" applyFont="1" applyFill="1" applyBorder="1" applyAlignment="1">
      <alignment horizontal="right" vertical="center"/>
    </xf>
    <xf numFmtId="176" fontId="4" fillId="3" borderId="31" xfId="0" applyNumberFormat="1" applyFont="1" applyFill="1" applyBorder="1" applyAlignment="1">
      <alignment vertical="center"/>
    </xf>
    <xf numFmtId="176" fontId="4" fillId="3" borderId="16" xfId="0" applyNumberFormat="1" applyFont="1" applyFill="1" applyBorder="1" applyAlignment="1">
      <alignment vertical="center"/>
    </xf>
    <xf numFmtId="0" fontId="3" fillId="4" borderId="32" xfId="0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4" fillId="3" borderId="33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4" borderId="34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0" fontId="4" fillId="3" borderId="5" xfId="0" applyNumberFormat="1" applyFont="1" applyFill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5" xfId="0" applyFont="1" applyBorder="1" applyAlignment="1">
      <alignment horizontal="right"/>
    </xf>
    <xf numFmtId="0" fontId="4" fillId="4" borderId="35" xfId="0" applyFont="1" applyFill="1" applyBorder="1" applyAlignment="1">
      <alignment horizont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4" borderId="38" xfId="0" applyFont="1" applyFill="1" applyBorder="1" applyAlignment="1">
      <alignment horizontal="right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4" borderId="38" xfId="0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46" xfId="0" applyFont="1" applyBorder="1" applyAlignment="1">
      <alignment vertical="center"/>
    </xf>
    <xf numFmtId="0" fontId="4" fillId="4" borderId="47" xfId="0" applyFont="1" applyFill="1" applyBorder="1" applyAlignment="1">
      <alignment vertical="center"/>
    </xf>
    <xf numFmtId="176" fontId="4" fillId="3" borderId="38" xfId="0" applyNumberFormat="1" applyFont="1" applyFill="1" applyBorder="1" applyAlignment="1">
      <alignment vertical="center"/>
    </xf>
    <xf numFmtId="181" fontId="4" fillId="3" borderId="38" xfId="0" applyNumberFormat="1" applyFont="1" applyFill="1" applyBorder="1" applyAlignment="1">
      <alignment vertical="center"/>
    </xf>
    <xf numFmtId="180" fontId="4" fillId="3" borderId="38" xfId="0" applyNumberFormat="1" applyFont="1" applyFill="1" applyBorder="1" applyAlignment="1">
      <alignment vertical="center"/>
    </xf>
    <xf numFmtId="176" fontId="4" fillId="4" borderId="48" xfId="0" applyNumberFormat="1" applyFont="1" applyFill="1" applyBorder="1" applyAlignment="1">
      <alignment vertical="center"/>
    </xf>
    <xf numFmtId="0" fontId="4" fillId="3" borderId="48" xfId="0" applyFont="1" applyFill="1" applyBorder="1" applyAlignment="1">
      <alignment vertical="center"/>
    </xf>
    <xf numFmtId="0" fontId="4" fillId="4" borderId="48" xfId="0" applyFont="1" applyFill="1" applyBorder="1" applyAlignment="1">
      <alignment vertical="center"/>
    </xf>
    <xf numFmtId="0" fontId="4" fillId="0" borderId="42" xfId="0" applyFont="1" applyBorder="1" applyAlignment="1">
      <alignment horizontal="right"/>
    </xf>
    <xf numFmtId="181" fontId="4" fillId="0" borderId="0" xfId="0" applyNumberFormat="1" applyFont="1" applyFill="1" applyBorder="1" applyAlignment="1">
      <alignment vertical="center"/>
    </xf>
    <xf numFmtId="178" fontId="4" fillId="3" borderId="38" xfId="0" applyNumberFormat="1" applyFont="1" applyFill="1" applyBorder="1" applyAlignment="1">
      <alignment vertical="center"/>
    </xf>
    <xf numFmtId="182" fontId="4" fillId="3" borderId="38" xfId="0" applyNumberFormat="1" applyFont="1" applyFill="1" applyBorder="1" applyAlignment="1">
      <alignment vertical="center"/>
    </xf>
    <xf numFmtId="176" fontId="4" fillId="3" borderId="47" xfId="0" applyNumberFormat="1" applyFont="1" applyFill="1" applyBorder="1" applyAlignment="1">
      <alignment vertical="center"/>
    </xf>
    <xf numFmtId="0" fontId="4" fillId="3" borderId="49" xfId="0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183" fontId="4" fillId="3" borderId="48" xfId="0" applyNumberFormat="1" applyFont="1" applyFill="1" applyBorder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left"/>
    </xf>
    <xf numFmtId="180" fontId="4" fillId="0" borderId="0" xfId="0" applyNumberFormat="1" applyFon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180" fontId="4" fillId="3" borderId="4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76" fontId="4" fillId="3" borderId="48" xfId="0" applyNumberFormat="1" applyFont="1" applyFill="1" applyBorder="1" applyAlignment="1">
      <alignment vertical="center"/>
    </xf>
    <xf numFmtId="183" fontId="4" fillId="3" borderId="48" xfId="0" applyNumberFormat="1" applyFont="1" applyFill="1" applyBorder="1" applyAlignment="1">
      <alignment/>
    </xf>
    <xf numFmtId="183" fontId="4" fillId="0" borderId="0" xfId="0" applyNumberFormat="1" applyFont="1" applyAlignment="1">
      <alignment vertical="center"/>
    </xf>
    <xf numFmtId="183" fontId="4" fillId="0" borderId="0" xfId="0" applyNumberFormat="1" applyFont="1" applyAlignment="1">
      <alignment horizontal="right"/>
    </xf>
    <xf numFmtId="183" fontId="4" fillId="0" borderId="0" xfId="0" applyNumberFormat="1" applyFont="1" applyFill="1" applyBorder="1" applyAlignment="1">
      <alignment/>
    </xf>
    <xf numFmtId="183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183" fontId="4" fillId="0" borderId="0" xfId="0" applyNumberFormat="1" applyFont="1" applyAlignment="1">
      <alignment/>
    </xf>
    <xf numFmtId="0" fontId="4" fillId="0" borderId="50" xfId="0" applyFont="1" applyFill="1" applyBorder="1" applyAlignment="1">
      <alignment vertical="center"/>
    </xf>
    <xf numFmtId="176" fontId="4" fillId="3" borderId="5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3" borderId="48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76" fontId="4" fillId="0" borderId="5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181" fontId="4" fillId="3" borderId="48" xfId="0" applyNumberFormat="1" applyFont="1" applyFill="1" applyBorder="1" applyAlignment="1">
      <alignment vertical="center"/>
    </xf>
    <xf numFmtId="184" fontId="4" fillId="2" borderId="48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184" fontId="4" fillId="3" borderId="48" xfId="0" applyNumberFormat="1" applyFont="1" applyFill="1" applyBorder="1" applyAlignment="1">
      <alignment vertical="center"/>
    </xf>
    <xf numFmtId="0" fontId="4" fillId="3" borderId="35" xfId="0" applyFont="1" applyFill="1" applyBorder="1" applyAlignment="1">
      <alignment horizontal="right"/>
    </xf>
    <xf numFmtId="0" fontId="4" fillId="3" borderId="35" xfId="0" applyFont="1" applyFill="1" applyBorder="1" applyAlignment="1">
      <alignment horizontal="center"/>
    </xf>
    <xf numFmtId="185" fontId="4" fillId="3" borderId="48" xfId="0" applyNumberFormat="1" applyFont="1" applyFill="1" applyBorder="1" applyAlignment="1">
      <alignment vertical="center"/>
    </xf>
    <xf numFmtId="184" fontId="4" fillId="5" borderId="48" xfId="0" applyNumberFormat="1" applyFont="1" applyFill="1" applyBorder="1" applyAlignment="1">
      <alignment vertical="center"/>
    </xf>
    <xf numFmtId="0" fontId="4" fillId="3" borderId="38" xfId="0" applyFont="1" applyFill="1" applyBorder="1" applyAlignment="1">
      <alignment horizontal="right"/>
    </xf>
    <xf numFmtId="0" fontId="4" fillId="3" borderId="47" xfId="0" applyFont="1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0" fontId="4" fillId="3" borderId="54" xfId="0" applyFont="1" applyFill="1" applyBorder="1" applyAlignment="1">
      <alignment vertical="center"/>
    </xf>
    <xf numFmtId="0" fontId="4" fillId="3" borderId="55" xfId="0" applyFont="1" applyFill="1" applyBorder="1" applyAlignment="1">
      <alignment vertical="center"/>
    </xf>
    <xf numFmtId="0" fontId="4" fillId="3" borderId="56" xfId="0" applyFont="1" applyFill="1" applyBorder="1" applyAlignment="1">
      <alignment vertical="center"/>
    </xf>
    <xf numFmtId="6" fontId="4" fillId="0" borderId="57" xfId="18" applyFont="1" applyBorder="1" applyAlignment="1">
      <alignment horizontal="left"/>
    </xf>
    <xf numFmtId="6" fontId="4" fillId="0" borderId="58" xfId="18" applyFont="1" applyBorder="1" applyAlignment="1">
      <alignment horizontal="center"/>
    </xf>
    <xf numFmtId="6" fontId="4" fillId="0" borderId="57" xfId="18" applyFont="1" applyBorder="1" applyAlignment="1">
      <alignment horizontal="center"/>
    </xf>
    <xf numFmtId="6" fontId="4" fillId="0" borderId="59" xfId="18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left"/>
    </xf>
    <xf numFmtId="0" fontId="4" fillId="0" borderId="53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180" fontId="4" fillId="4" borderId="48" xfId="0" applyNumberFormat="1" applyFont="1" applyFill="1" applyBorder="1" applyAlignment="1">
      <alignment vertical="center"/>
    </xf>
    <xf numFmtId="177" fontId="4" fillId="5" borderId="5" xfId="0" applyNumberFormat="1" applyFont="1" applyFill="1" applyBorder="1" applyAlignment="1">
      <alignment vertical="center"/>
    </xf>
    <xf numFmtId="176" fontId="4" fillId="3" borderId="34" xfId="0" applyNumberFormat="1" applyFont="1" applyFill="1" applyBorder="1" applyAlignment="1">
      <alignment vertical="center"/>
    </xf>
    <xf numFmtId="176" fontId="3" fillId="4" borderId="9" xfId="0" applyNumberFormat="1" applyFont="1" applyFill="1" applyBorder="1" applyAlignment="1">
      <alignment vertical="center"/>
    </xf>
    <xf numFmtId="180" fontId="4" fillId="3" borderId="3" xfId="0" applyNumberFormat="1" applyFont="1" applyFill="1" applyBorder="1" applyAlignment="1">
      <alignment horizontal="center" vertical="center"/>
    </xf>
    <xf numFmtId="180" fontId="4" fillId="3" borderId="18" xfId="0" applyNumberFormat="1" applyFont="1" applyFill="1" applyBorder="1" applyAlignment="1">
      <alignment horizontal="center" vertical="center"/>
    </xf>
    <xf numFmtId="176" fontId="3" fillId="4" borderId="13" xfId="0" applyNumberFormat="1" applyFont="1" applyFill="1" applyBorder="1" applyAlignment="1">
      <alignment vertical="center"/>
    </xf>
    <xf numFmtId="0" fontId="3" fillId="4" borderId="53" xfId="0" applyFont="1" applyFill="1" applyBorder="1" applyAlignment="1">
      <alignment vertical="center"/>
    </xf>
    <xf numFmtId="0" fontId="3" fillId="4" borderId="54" xfId="0" applyFont="1" applyFill="1" applyBorder="1" applyAlignment="1">
      <alignment vertical="center"/>
    </xf>
    <xf numFmtId="0" fontId="3" fillId="4" borderId="55" xfId="0" applyFont="1" applyFill="1" applyBorder="1" applyAlignment="1">
      <alignment vertical="center"/>
    </xf>
    <xf numFmtId="0" fontId="3" fillId="4" borderId="56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35</xdr:row>
      <xdr:rowOff>66675</xdr:rowOff>
    </xdr:from>
    <xdr:to>
      <xdr:col>7</xdr:col>
      <xdr:colOff>752475</xdr:colOff>
      <xdr:row>41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257925"/>
          <a:ext cx="6600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35</xdr:row>
      <xdr:rowOff>66675</xdr:rowOff>
    </xdr:from>
    <xdr:to>
      <xdr:col>7</xdr:col>
      <xdr:colOff>752475</xdr:colOff>
      <xdr:row>41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257925"/>
          <a:ext cx="6600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5</xdr:row>
      <xdr:rowOff>114300</xdr:rowOff>
    </xdr:from>
    <xdr:to>
      <xdr:col>10</xdr:col>
      <xdr:colOff>533400</xdr:colOff>
      <xdr:row>11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028700"/>
          <a:ext cx="12287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1219200</xdr:colOff>
      <xdr:row>11</xdr:row>
      <xdr:rowOff>114300</xdr:rowOff>
    </xdr:from>
    <xdr:to>
      <xdr:col>17</xdr:col>
      <xdr:colOff>219075</xdr:colOff>
      <xdr:row>17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87400" y="2114550"/>
          <a:ext cx="1933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19</xdr:row>
      <xdr:rowOff>95250</xdr:rowOff>
    </xdr:from>
    <xdr:to>
      <xdr:col>17</xdr:col>
      <xdr:colOff>295275</xdr:colOff>
      <xdr:row>21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63600" y="3543300"/>
          <a:ext cx="1933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33</xdr:row>
      <xdr:rowOff>114300</xdr:rowOff>
    </xdr:from>
    <xdr:to>
      <xdr:col>10</xdr:col>
      <xdr:colOff>533400</xdr:colOff>
      <xdr:row>39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105525"/>
          <a:ext cx="12287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1219200</xdr:colOff>
      <xdr:row>39</xdr:row>
      <xdr:rowOff>114300</xdr:rowOff>
    </xdr:from>
    <xdr:to>
      <xdr:col>17</xdr:col>
      <xdr:colOff>219075</xdr:colOff>
      <xdr:row>45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87400" y="7191375"/>
          <a:ext cx="1933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47</xdr:row>
      <xdr:rowOff>95250</xdr:rowOff>
    </xdr:from>
    <xdr:to>
      <xdr:col>17</xdr:col>
      <xdr:colOff>295275</xdr:colOff>
      <xdr:row>49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63600" y="8610600"/>
          <a:ext cx="1933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9"/>
  <sheetViews>
    <sheetView tabSelected="1" workbookViewId="0" topLeftCell="A1">
      <selection activeCell="A25" sqref="A25:B25"/>
    </sheetView>
  </sheetViews>
  <sheetFormatPr defaultColWidth="8.796875" defaultRowHeight="14.25"/>
  <cols>
    <col min="15" max="15" width="12.69921875" style="0" bestFit="1" customWidth="1"/>
  </cols>
  <sheetData>
    <row r="1" spans="1:16" ht="14.25" thickBot="1">
      <c r="A1" s="66" t="s">
        <v>0</v>
      </c>
      <c r="B1" s="90"/>
      <c r="C1" s="91"/>
      <c r="D1" s="92"/>
      <c r="E1" s="10"/>
      <c r="F1" s="10"/>
      <c r="G1" s="10"/>
      <c r="H1" s="10"/>
      <c r="I1" s="10"/>
      <c r="J1" s="10"/>
      <c r="K1" s="10"/>
      <c r="L1" s="10"/>
      <c r="M1" s="10"/>
      <c r="N1" s="10"/>
      <c r="O1" s="10" t="s">
        <v>40</v>
      </c>
      <c r="P1" s="18"/>
    </row>
    <row r="2" spans="1:16" ht="14.25" thickBot="1">
      <c r="A2" s="10" t="s">
        <v>11</v>
      </c>
      <c r="B2" s="88"/>
      <c r="C2" s="10" t="s">
        <v>12</v>
      </c>
      <c r="D2" s="89"/>
      <c r="E2" s="10" t="s">
        <v>13</v>
      </c>
      <c r="F2" s="18"/>
      <c r="G2" s="12" t="s">
        <v>14</v>
      </c>
      <c r="H2" s="13">
        <v>205000000</v>
      </c>
      <c r="I2" s="12" t="s">
        <v>46</v>
      </c>
      <c r="J2" s="186">
        <f>'許容応力度計算'!L5</f>
        <v>0</v>
      </c>
      <c r="K2" s="187"/>
      <c r="L2" s="10" t="s">
        <v>15</v>
      </c>
      <c r="M2" s="10"/>
      <c r="N2" s="10"/>
      <c r="O2" s="10" t="s">
        <v>41</v>
      </c>
      <c r="P2" s="18"/>
    </row>
    <row r="3" spans="1:16" ht="13.5">
      <c r="A3" s="3" t="s">
        <v>1</v>
      </c>
      <c r="B3" s="19" t="s">
        <v>16</v>
      </c>
      <c r="C3" s="19" t="s">
        <v>17</v>
      </c>
      <c r="D3" s="19" t="s">
        <v>18</v>
      </c>
      <c r="E3" s="19" t="s">
        <v>19</v>
      </c>
      <c r="F3" s="20"/>
      <c r="G3" s="21" t="s">
        <v>4</v>
      </c>
      <c r="H3" s="22"/>
      <c r="I3" s="22"/>
      <c r="J3" s="22" t="s">
        <v>8</v>
      </c>
      <c r="K3" s="22"/>
      <c r="L3" s="22"/>
      <c r="M3" s="23" t="s">
        <v>9</v>
      </c>
      <c r="N3" s="18"/>
      <c r="P3" s="18"/>
    </row>
    <row r="4" spans="1:16" ht="14.25" thickBot="1">
      <c r="A4" s="4" t="s">
        <v>0</v>
      </c>
      <c r="B4" s="24" t="s">
        <v>7</v>
      </c>
      <c r="C4" s="24" t="s">
        <v>6</v>
      </c>
      <c r="D4" s="24" t="s">
        <v>6</v>
      </c>
      <c r="E4" s="24" t="s">
        <v>6</v>
      </c>
      <c r="F4" s="25"/>
      <c r="G4" s="26">
        <v>0</v>
      </c>
      <c r="H4" s="27">
        <f>D2/6</f>
        <v>0</v>
      </c>
      <c r="I4" s="27">
        <f>D2/6*2</f>
        <v>0</v>
      </c>
      <c r="J4" s="27">
        <f>D2/2</f>
        <v>0</v>
      </c>
      <c r="K4" s="27">
        <f>D2/6*4</f>
        <v>0</v>
      </c>
      <c r="L4" s="27">
        <f>D2/6*5</f>
        <v>0</v>
      </c>
      <c r="M4" s="28">
        <f>C5</f>
        <v>0</v>
      </c>
      <c r="N4" s="18"/>
      <c r="O4" s="10" t="s">
        <v>42</v>
      </c>
      <c r="P4" s="18"/>
    </row>
    <row r="5" spans="1:16" ht="13.5">
      <c r="A5" s="71"/>
      <c r="B5" s="185"/>
      <c r="C5" s="30">
        <f>D2</f>
        <v>0</v>
      </c>
      <c r="D5" s="29"/>
      <c r="E5" s="30">
        <f>C5-D5</f>
        <v>0</v>
      </c>
      <c r="F5" s="31" t="s">
        <v>20</v>
      </c>
      <c r="G5" s="73" t="e">
        <f aca="true" t="shared" si="0" ref="G5:M5">IF(G$4&lt;=$D5,$B5*$E5^2/$C5^2*(G$4*(3*$D5+$E5)/$C5-$D5),$B5*$D5^2/$C5^2*($D5+2*$E5-G$4/$C5*($D5+3*$E5)))</f>
        <v>#DIV/0!</v>
      </c>
      <c r="H5" s="73" t="e">
        <f t="shared" si="0"/>
        <v>#DIV/0!</v>
      </c>
      <c r="I5" s="73" t="e">
        <f t="shared" si="0"/>
        <v>#DIV/0!</v>
      </c>
      <c r="J5" s="73" t="e">
        <f t="shared" si="0"/>
        <v>#DIV/0!</v>
      </c>
      <c r="K5" s="73" t="e">
        <f t="shared" si="0"/>
        <v>#DIV/0!</v>
      </c>
      <c r="L5" s="73" t="e">
        <f t="shared" si="0"/>
        <v>#DIV/0!</v>
      </c>
      <c r="M5" s="74" t="e">
        <f t="shared" si="0"/>
        <v>#DIV/0!</v>
      </c>
      <c r="N5" s="18"/>
      <c r="O5" s="10"/>
      <c r="P5" s="18"/>
    </row>
    <row r="6" spans="1:16" ht="13.5">
      <c r="A6" s="16"/>
      <c r="B6" s="32"/>
      <c r="C6" s="32"/>
      <c r="D6" s="32"/>
      <c r="E6" s="32"/>
      <c r="F6" s="33" t="s">
        <v>21</v>
      </c>
      <c r="G6" s="37" t="e">
        <f>IF(G$4&lt;=$D5,$B5*$E5^2*(3*$D5+$E5)/$C5^3,IF(G$4=$D5,0,-1*$B5*$D5^2*($D5+3*$E5)/$C5^3))</f>
        <v>#DIV/0!</v>
      </c>
      <c r="H6" s="37">
        <f>IF(H$4&lt;$D5,$B5*$E5^2*(3*$D5+$E5)/$C5^3,IF(H$4=$D5,0,-1*$B5*$D5^2*($D5+3*$E5)/$C5^3))</f>
        <v>0</v>
      </c>
      <c r="I6" s="37">
        <f>IF(I$4&lt;$D5,$B5*$E5^2*(3*$D5+$E5)/$C5^3,IF(I$4=$D5,0,-1*$B5*$D5^2*($D5+3*$E5)/$C5^3))</f>
        <v>0</v>
      </c>
      <c r="J6" s="37">
        <f>IF(J$4&lt;$D5,$B5*$E5^2*(3*$D5+$E5)/$C5^3,IF(J$4=$D5,0,-1*$B5*$D5^2*($D5+3*$E5)/$C5^3))</f>
        <v>0</v>
      </c>
      <c r="K6" s="37">
        <f>IF(K$4&lt;$D5,$B5*$E5^2*(3*$D5+$E5)/$C5^3,IF(K$4=$D5,0,-1*$B5*$D5^2*($D5+3*$E5)/$C5^3))</f>
        <v>0</v>
      </c>
      <c r="L6" s="37">
        <f>IF(L$4&lt;$D5,$B5*$E5^2*(3*$D5+$E5)/$C5^3,IF(L$4=$D5,0,-1*$B5*$D5^2*($D5+3*$E5)/$C5^3))</f>
        <v>0</v>
      </c>
      <c r="M6" s="75">
        <f>IF(M$4&lt;$D5,$B5*$E5^2*(3*$D5+$E5)/$C5^3,IF(M$4=$D5,-B5,-1*$B5*$D5^2*($D5+3*$E5)/$C5^3))</f>
        <v>0</v>
      </c>
      <c r="N6" s="18"/>
      <c r="O6" s="68" t="s">
        <v>44</v>
      </c>
      <c r="P6" s="10"/>
    </row>
    <row r="7" spans="1:16" ht="14.25" thickBot="1">
      <c r="A7" s="72"/>
      <c r="B7" s="35"/>
      <c r="C7" s="35"/>
      <c r="D7" s="35"/>
      <c r="E7" s="35"/>
      <c r="F7" s="36" t="s">
        <v>22</v>
      </c>
      <c r="G7" s="76">
        <f aca="true" t="shared" si="1" ref="G7:M7">IF($D2*$D5*$E5=0,0,IF(G$4&lt;=$D5,($B5*$E5^2*G$4^2/(6*$H$2*$J$2/100000000*$D$2)*(3*$D5/$D$2-(3*$D5+$E5)*G$4/$D$2^2))*1000,($B5*$E5^2*G$4^2/(6*$H$2*$J$2/100000000*$D$2)*(3*$D5/$D$2-(3*$D5+$E5)*G$4/$D$2^2)+$B5*(G$4-$D5)^3/(6*$H$2*$J$2/100000000))*1000))</f>
        <v>0</v>
      </c>
      <c r="H7" s="76">
        <f t="shared" si="1"/>
        <v>0</v>
      </c>
      <c r="I7" s="76">
        <f t="shared" si="1"/>
        <v>0</v>
      </c>
      <c r="J7" s="76">
        <f t="shared" si="1"/>
        <v>0</v>
      </c>
      <c r="K7" s="76">
        <f t="shared" si="1"/>
        <v>0</v>
      </c>
      <c r="L7" s="76">
        <f t="shared" si="1"/>
        <v>0</v>
      </c>
      <c r="M7" s="77">
        <f t="shared" si="1"/>
        <v>0</v>
      </c>
      <c r="N7" s="18"/>
      <c r="O7" s="69" t="s">
        <v>43</v>
      </c>
      <c r="P7" s="10"/>
    </row>
    <row r="8" spans="1:16" ht="13.5">
      <c r="A8" s="16"/>
      <c r="B8" s="29"/>
      <c r="C8" s="37">
        <f>C5</f>
        <v>0</v>
      </c>
      <c r="D8" s="29"/>
      <c r="E8" s="37">
        <f>C8-D8</f>
        <v>0</v>
      </c>
      <c r="F8" s="33" t="s">
        <v>20</v>
      </c>
      <c r="G8" s="78" t="e">
        <f aca="true" t="shared" si="2" ref="G8:M8">IF(G$4&lt;=$D8,$B8*$E8^2/$C8^2*(G$4*(3*$D8+$E8)/$C8-$D8),$B8*$D8^2/$C8^2*($D8+2*$E8-G$4/$C8*($D8+3*$E8)))</f>
        <v>#DIV/0!</v>
      </c>
      <c r="H8" s="73" t="e">
        <f t="shared" si="2"/>
        <v>#DIV/0!</v>
      </c>
      <c r="I8" s="73" t="e">
        <f t="shared" si="2"/>
        <v>#DIV/0!</v>
      </c>
      <c r="J8" s="73" t="e">
        <f t="shared" si="2"/>
        <v>#DIV/0!</v>
      </c>
      <c r="K8" s="73" t="e">
        <f t="shared" si="2"/>
        <v>#DIV/0!</v>
      </c>
      <c r="L8" s="73" t="e">
        <f t="shared" si="2"/>
        <v>#DIV/0!</v>
      </c>
      <c r="M8" s="74" t="e">
        <f t="shared" si="2"/>
        <v>#DIV/0!</v>
      </c>
      <c r="N8" s="18"/>
      <c r="O8" s="10"/>
      <c r="P8" s="10"/>
    </row>
    <row r="9" spans="1:16" ht="13.5">
      <c r="A9" s="16"/>
      <c r="B9" s="32"/>
      <c r="C9" s="32"/>
      <c r="D9" s="32"/>
      <c r="E9" s="32"/>
      <c r="F9" s="33" t="s">
        <v>23</v>
      </c>
      <c r="G9" s="37" t="e">
        <f>IF(G$4&lt;=$D8,$B8*$E8^2*(3*$D8+$E8)/$C8^3,IF(G$4=$D8,0,-1*$B8*$D8^2*($D8+3*$E8)/$C8^3))</f>
        <v>#DIV/0!</v>
      </c>
      <c r="H9" s="37">
        <f>IF(H$4&lt;$D8,$B8*$E8^2*(3*$D8+$E8)/$C8^3,IF(H$4=$D8,0,-1*$B8*$D8^2*($D8+3*$E8)/$C8^3))</f>
        <v>0</v>
      </c>
      <c r="I9" s="37">
        <f>IF(I$4&lt;$D8,$B8*$E8^2*(3*$D8+$E8)/$C8^3,IF(I$4=$D8,0,-1*$B8*$D8^2*($D8+3*$E8)/$C8^3))</f>
        <v>0</v>
      </c>
      <c r="J9" s="37">
        <f>IF(J$4&lt;$D8,$B8*$E8^2*(3*$D8+$E8)/$C8^3,IF(J$4=$D8,0,-1*$B8*$D8^2*($D8+3*$E8)/$C8^3))</f>
        <v>0</v>
      </c>
      <c r="K9" s="37">
        <f>IF(K$4&lt;$D8,$B8*$E8^2*(3*$D8+$E8)/$C8^3,IF(K$4=$D8,0,-1*$B8*$D8^2*($D8+3*$E8)/$C8^3))</f>
        <v>0</v>
      </c>
      <c r="L9" s="37">
        <f>IF(L$4&lt;$D8,$B8*$E8^2*(3*$D8+$E8)/$C8^3,IF(L$4=$D8,0,-1*$B8*$D8^2*($D8+3*$E8)/$C8^3))</f>
        <v>0</v>
      </c>
      <c r="M9" s="75">
        <f>IF(M$4&lt;$D8,$B8*$E8^2*(3*$D8+$E8)/$C8^3,IF(M$4=$D8,-B8,-1*$B8*$D8^2*($D8+3*$E8)/$C8^3))</f>
        <v>0</v>
      </c>
      <c r="N9" s="18"/>
      <c r="O9" s="10"/>
      <c r="P9" s="10"/>
    </row>
    <row r="10" spans="1:16" ht="14.25" thickBot="1">
      <c r="A10" s="72"/>
      <c r="B10" s="35"/>
      <c r="C10" s="35"/>
      <c r="D10" s="35"/>
      <c r="E10" s="35"/>
      <c r="F10" s="36" t="s">
        <v>24</v>
      </c>
      <c r="G10" s="76">
        <f aca="true" t="shared" si="3" ref="G10:M10">IF($D$2*$D8*$E8=0,0,IF(G$4&lt;=$D8,($B8*$E8^2*G$4^2/(6*$H$2*$J$2/100000000*$D$2)*(3*$D8/$D$2-(3*$D8+$E8)*G$4/$D$2^2))*1000,($B8*$E8^2*G$4^2/(6*$H$2*$J$2/100000000*$D$2)*(3*$D8/$D$2-(3*$D8+$E8)*G$4/$D$2^2)+$B8*(G$4-$D8)^3/(6*$H$2*$J$2/100000000))*1000))</f>
        <v>0</v>
      </c>
      <c r="H10" s="76">
        <f t="shared" si="3"/>
        <v>0</v>
      </c>
      <c r="I10" s="76">
        <f t="shared" si="3"/>
        <v>0</v>
      </c>
      <c r="J10" s="76">
        <f t="shared" si="3"/>
        <v>0</v>
      </c>
      <c r="K10" s="76">
        <f t="shared" si="3"/>
        <v>0</v>
      </c>
      <c r="L10" s="76">
        <f t="shared" si="3"/>
        <v>0</v>
      </c>
      <c r="M10" s="77">
        <f t="shared" si="3"/>
        <v>0</v>
      </c>
      <c r="N10" s="18"/>
      <c r="O10" s="10"/>
      <c r="P10" s="10"/>
    </row>
    <row r="11" spans="1:16" ht="13.5">
      <c r="A11" s="16"/>
      <c r="B11" s="29"/>
      <c r="C11" s="37">
        <f>C5</f>
        <v>0</v>
      </c>
      <c r="D11" s="29"/>
      <c r="E11" s="37">
        <f>C11-D11</f>
        <v>0</v>
      </c>
      <c r="F11" s="33" t="s">
        <v>25</v>
      </c>
      <c r="G11" s="73" t="e">
        <f aca="true" t="shared" si="4" ref="G11:M11">IF(G$4&lt;=$D11,$B11*$E11^2/$C11^2*(G$4*(3*$D11+$E11)/$C11-$D11),$B11*$D11^2/$C11^2*($D11+2*$E11-G$4/$C11*($D11+3*$E11)))</f>
        <v>#DIV/0!</v>
      </c>
      <c r="H11" s="73" t="e">
        <f t="shared" si="4"/>
        <v>#DIV/0!</v>
      </c>
      <c r="I11" s="73" t="e">
        <f t="shared" si="4"/>
        <v>#DIV/0!</v>
      </c>
      <c r="J11" s="73" t="e">
        <f t="shared" si="4"/>
        <v>#DIV/0!</v>
      </c>
      <c r="K11" s="73" t="e">
        <f t="shared" si="4"/>
        <v>#DIV/0!</v>
      </c>
      <c r="L11" s="73" t="e">
        <f t="shared" si="4"/>
        <v>#DIV/0!</v>
      </c>
      <c r="M11" s="74" t="e">
        <f t="shared" si="4"/>
        <v>#DIV/0!</v>
      </c>
      <c r="N11" s="18"/>
      <c r="O11" s="10"/>
      <c r="P11" s="10"/>
    </row>
    <row r="12" spans="1:16" ht="13.5">
      <c r="A12" s="16"/>
      <c r="B12" s="32"/>
      <c r="C12" s="32"/>
      <c r="D12" s="32"/>
      <c r="E12" s="32"/>
      <c r="F12" s="33" t="s">
        <v>23</v>
      </c>
      <c r="G12" s="37" t="e">
        <f>IF(G$4&lt;=$D11,$B11*$E11^2*(3*$D11+$E11)/$C11^3,IF(G$4=$D11,0,-1*$B11*$D11^2*($D11+3*$E11)/$C11^3))</f>
        <v>#DIV/0!</v>
      </c>
      <c r="H12" s="37">
        <f>IF(H$4&lt;$D11,$B11*$E11^2*(3*$D11+$E11)/$C11^3,IF(H$4=$D11,0,-1*$B11*$D11^2*($D11+3*$E11)/$C11^3))</f>
        <v>0</v>
      </c>
      <c r="I12" s="37">
        <f>IF(I$4&lt;$D11,$B11*$E11^2*(3*$D11+$E11)/$C11^3,IF(I$4=$D11,0,-1*$B11*$D11^2*($D11+3*$E11)/$C11^3))</f>
        <v>0</v>
      </c>
      <c r="J12" s="37">
        <f>IF(J$4&lt;$D11,$B11*$E11^2*(3*$D11+$E11)/$C11^3,IF(J$4=$D11,0,-1*$B11*$D11^2*($D11+3*$E11)/$C11^3))</f>
        <v>0</v>
      </c>
      <c r="K12" s="37">
        <f>IF(K$4&lt;$D11,$B11*$E11^2*(3*$D11+$E11)/$C11^3,IF(K$4=$D11,0,-1*$B11*$D11^2*($D11+3*$E11)/$C11^3))</f>
        <v>0</v>
      </c>
      <c r="L12" s="37">
        <f>IF(L$4&lt;$D11,$B11*$E11^2*(3*$D11+$E11)/$C11^3,IF(L$4=$D11,0,-1*$B11*$D11^2*($D11+3*$E11)/$C11^3))</f>
        <v>0</v>
      </c>
      <c r="M12" s="75">
        <f>IF(M$4&lt;$D11,$B11*$E11^2*(3*$D11+$E11)/$C11^3,IF(M$4=$D11,-B11,-1*$B11*$D11^2*($D11+3*$E11)/$C11^3))</f>
        <v>0</v>
      </c>
      <c r="N12" s="39"/>
      <c r="O12" s="10"/>
      <c r="P12" s="18"/>
    </row>
    <row r="13" spans="1:16" ht="14.25" thickBot="1">
      <c r="A13" s="72"/>
      <c r="B13" s="35"/>
      <c r="C13" s="35"/>
      <c r="D13" s="35"/>
      <c r="E13" s="35"/>
      <c r="F13" s="36" t="s">
        <v>24</v>
      </c>
      <c r="G13" s="76">
        <f>IF($D$2*$D11*$E11=0,0,IF(G$4&lt;=$D11,($B11*$E11^2*G$4^2/(6*$H$2*$J$2/100000000*$D$2)*(3*$D11/$D$2-(3*$D11+$E11)*G$4/$D$2^2))*1000,($B11*$E11^2*G$4^2/(6*$H$2*$J$2/100000000*$D$2)*(3*$D11/$D$2-(3*$D11+$E11)*G$4/$D$2^2)+$B11*(G$4-$D11)^3/(6*$H$2*$J$2/100000000))*1000))</f>
        <v>0</v>
      </c>
      <c r="H13" s="76">
        <f aca="true" t="shared" si="5" ref="H13:M13">IF($D$2*$D11*$E11=0,0,IF(H$4&lt;=$D11,($B11*$E11^2*H$4^2/(6*$H$2*$J$2/100000000*$D$2)*(3*$D11/$D$2-(3*$D11+$E11)*H$4/$D$2^2))*1000,($B11*$E11^2*H$4^2/(6*$H$2*$J$2/100000000*$D$2)*(3*$D11/$D$2-(3*$D11+$E11)*H$4/$D$2^2)+$B11*(H$4-$D11)^3/(6*$H$2*$J$2/100000000))*1000))</f>
        <v>0</v>
      </c>
      <c r="I13" s="76">
        <f t="shared" si="5"/>
        <v>0</v>
      </c>
      <c r="J13" s="76">
        <f t="shared" si="5"/>
        <v>0</v>
      </c>
      <c r="K13" s="76">
        <f t="shared" si="5"/>
        <v>0</v>
      </c>
      <c r="L13" s="76">
        <f t="shared" si="5"/>
        <v>0</v>
      </c>
      <c r="M13" s="77">
        <f t="shared" si="5"/>
        <v>0</v>
      </c>
      <c r="N13" s="39"/>
      <c r="O13" s="10"/>
      <c r="P13" s="18"/>
    </row>
    <row r="14" spans="1:16" ht="13.5">
      <c r="A14" s="16"/>
      <c r="B14" s="29"/>
      <c r="C14" s="37">
        <f>C5</f>
        <v>0</v>
      </c>
      <c r="D14" s="29"/>
      <c r="E14" s="37">
        <f>C14-D14</f>
        <v>0</v>
      </c>
      <c r="F14" s="33" t="s">
        <v>25</v>
      </c>
      <c r="G14" s="73" t="e">
        <f aca="true" t="shared" si="6" ref="G14:M14">IF(G$4&lt;=$D14,$B14*$E14^2/$C14^2*(G$4*(3*$D14+$E14)/$C14-$D14),$B14*$D14^2/$C14^2*($D14+2*$E14-G$4/$C14*($D14+3*$E14)))</f>
        <v>#DIV/0!</v>
      </c>
      <c r="H14" s="73" t="e">
        <f t="shared" si="6"/>
        <v>#DIV/0!</v>
      </c>
      <c r="I14" s="73" t="e">
        <f t="shared" si="6"/>
        <v>#DIV/0!</v>
      </c>
      <c r="J14" s="73" t="e">
        <f t="shared" si="6"/>
        <v>#DIV/0!</v>
      </c>
      <c r="K14" s="73" t="e">
        <f t="shared" si="6"/>
        <v>#DIV/0!</v>
      </c>
      <c r="L14" s="73" t="e">
        <f t="shared" si="6"/>
        <v>#DIV/0!</v>
      </c>
      <c r="M14" s="74" t="e">
        <f t="shared" si="6"/>
        <v>#DIV/0!</v>
      </c>
      <c r="N14" s="18"/>
      <c r="O14" s="10"/>
      <c r="P14" s="18"/>
    </row>
    <row r="15" spans="1:16" ht="13.5">
      <c r="A15" s="16"/>
      <c r="B15" s="32"/>
      <c r="C15" s="32"/>
      <c r="D15" s="32"/>
      <c r="E15" s="32"/>
      <c r="F15" s="33" t="s">
        <v>23</v>
      </c>
      <c r="G15" s="37" t="e">
        <f>IF(G$4&lt;=$D14,$B14*$E14^2*(3*$D14+$E14)/$C14^3,IF(G$4=$D14,0,-1*$B14*$D14^2*($D14+3*$E14)/$C14^3))</f>
        <v>#DIV/0!</v>
      </c>
      <c r="H15" s="37">
        <f>IF(H$4&lt;$D14,$B14*$E14^2*(3*$D14+$E14)/$C14^3,IF(H$4=$D14,0,-1*$B14*$D14^2*($D14+3*$E14)/$C14^3))</f>
        <v>0</v>
      </c>
      <c r="I15" s="37">
        <f>IF(I$4&lt;$D14,$B14*$E14^2*(3*$D14+$E14)/$C14^3,IF(I$4=$D14,0,-1*$B14*$D14^2*($D14+3*$E14)/$C14^3))</f>
        <v>0</v>
      </c>
      <c r="J15" s="37">
        <f>IF(J$4&lt;$D14,$B14*$E14^2*(3*$D14+$E14)/$C14^3,IF(J$4=$D14,0,-1*$B14*$D14^2*($D14+3*$E14)/$C14^3))</f>
        <v>0</v>
      </c>
      <c r="K15" s="37">
        <f>IF(K$4&lt;$D14,$B14*$E14^2*(3*$D14+$E14)/$C14^3,IF(K$4=$D14,0,-1*$B14*$D14^2*($D14+3*$E14)/$C14^3))</f>
        <v>0</v>
      </c>
      <c r="L15" s="37">
        <f>IF(L$4&lt;$D14,$B14*$E14^2*(3*$D14+$E14)/$C14^3,IF(L$4=$D14,0,-1*$B14*$D14^2*($D14+3*$E14)/$C14^3))</f>
        <v>0</v>
      </c>
      <c r="M15" s="75">
        <f>IF(M$4&lt;$D14,$B14*$E14^2*(3*$D14+$E14)/$C14^3,IF(M$4=$D14,-B14,-1*$B14*$D14^2*($D14+3*$E14)/$C14^3))</f>
        <v>0</v>
      </c>
      <c r="N15" s="18"/>
      <c r="O15" s="10"/>
      <c r="P15" s="18"/>
    </row>
    <row r="16" spans="1:16" ht="14.25" thickBot="1">
      <c r="A16" s="72"/>
      <c r="B16" s="35"/>
      <c r="C16" s="35"/>
      <c r="D16" s="35"/>
      <c r="E16" s="35"/>
      <c r="F16" s="36" t="s">
        <v>24</v>
      </c>
      <c r="G16" s="76">
        <f>IF($D$2*$D14*$E14=0,0,IF(G$4&lt;=$D14,($B14*$E14^2*G$4^2/(6*$H$2*$J$2/100000000*$D$2)*(3*$D14/$D$2-(3*$D14+$E14)*G$4/$D$2^2))*1000,($B14*$E14^2*G$4^2/(6*$H$2*$J$2/100000000*$D$2)*(3*$D14/$D$2-(3*$D14+$E14)*G$4/$D$2^2)+$B14*(G$4-$D14)^3/(6*$H$2*$J$2/100000000))*1000))</f>
        <v>0</v>
      </c>
      <c r="H16" s="76">
        <f aca="true" t="shared" si="7" ref="H16:M16">IF($D$2*$D14*$E14=0,0,IF(H$4&lt;=$D14,($B14*$E14^2*H$4^2/(6*$H$2*$J$2/100000000*$D$2)*(3*$D14/$D$2-(3*$D14+$E14)*H$4/$D$2^2))*1000,($B14*$E14^2*H$4^2/(6*$H$2*$J$2/100000000*$D$2)*(3*$D14/$D$2-(3*$D14+$E14)*H$4/$D$2^2)+$B14*(H$4-$D14)^3/(6*$H$2*$J$2/100000000))*1000))</f>
        <v>0</v>
      </c>
      <c r="I16" s="76">
        <f t="shared" si="7"/>
        <v>0</v>
      </c>
      <c r="J16" s="76">
        <f t="shared" si="7"/>
        <v>0</v>
      </c>
      <c r="K16" s="76">
        <f t="shared" si="7"/>
        <v>0</v>
      </c>
      <c r="L16" s="76">
        <f t="shared" si="7"/>
        <v>0</v>
      </c>
      <c r="M16" s="77">
        <f t="shared" si="7"/>
        <v>0</v>
      </c>
      <c r="N16" s="18"/>
      <c r="O16" s="10"/>
      <c r="P16" s="18"/>
    </row>
    <row r="17" spans="1:16" ht="13.5">
      <c r="A17" s="16"/>
      <c r="B17" s="29"/>
      <c r="C17" s="37">
        <f>C5</f>
        <v>0</v>
      </c>
      <c r="D17" s="29"/>
      <c r="E17" s="37">
        <f>C17-D17</f>
        <v>0</v>
      </c>
      <c r="F17" s="33" t="s">
        <v>25</v>
      </c>
      <c r="G17" s="73" t="e">
        <f aca="true" t="shared" si="8" ref="G17:M17">IF(G$4&lt;=$D17,$B17*$E17^2/$C17^2*(G$4*(3*$D17+$E17)/$C17-$D17),$B17*$D17^2/$C17^2*($D17+2*$E17-G$4/$C17*($D17+3*$E17)))</f>
        <v>#DIV/0!</v>
      </c>
      <c r="H17" s="73" t="e">
        <f t="shared" si="8"/>
        <v>#DIV/0!</v>
      </c>
      <c r="I17" s="73" t="e">
        <f t="shared" si="8"/>
        <v>#DIV/0!</v>
      </c>
      <c r="J17" s="73" t="e">
        <f t="shared" si="8"/>
        <v>#DIV/0!</v>
      </c>
      <c r="K17" s="73" t="e">
        <f t="shared" si="8"/>
        <v>#DIV/0!</v>
      </c>
      <c r="L17" s="73" t="e">
        <f t="shared" si="8"/>
        <v>#DIV/0!</v>
      </c>
      <c r="M17" s="74" t="e">
        <f t="shared" si="8"/>
        <v>#DIV/0!</v>
      </c>
      <c r="N17" s="18"/>
      <c r="O17" s="10"/>
      <c r="P17" s="18"/>
    </row>
    <row r="18" spans="1:16" ht="13.5">
      <c r="A18" s="16"/>
      <c r="B18" s="40"/>
      <c r="C18" s="40"/>
      <c r="D18" s="40"/>
      <c r="E18" s="40"/>
      <c r="F18" s="33" t="s">
        <v>23</v>
      </c>
      <c r="G18" s="37" t="e">
        <f>IF(G$4&lt;=$D17,$B17*$E17^2*(3*$D17+$E17)/$C17^3,IF(G$4=$D17,0,-1*$B17*$D17^2*($D17+3*$E17)/$C17^3))</f>
        <v>#DIV/0!</v>
      </c>
      <c r="H18" s="37">
        <f>IF(H$4&lt;$D17,$B17*$E17^2*(3*$D17+$E17)/$C17^3,IF(H$4=$D17,0,-1*$B17*$D17^2*($D17+3*$E17)/$C17^3))</f>
        <v>0</v>
      </c>
      <c r="I18" s="37">
        <f>IF(I$4&lt;$D17,$B17*$E17^2*(3*$D17+$E17)/$C17^3,IF(I$4=$D17,0,-1*$B17*$D17^2*($D17+3*$E17)/$C17^3))</f>
        <v>0</v>
      </c>
      <c r="J18" s="37">
        <f>IF(J$4&lt;$D17,$B17*$E17^2*(3*$D17+$E17)/$C17^3,IF(J$4=$D17,0,-1*$B17*$D17^2*($D17+3*$E17)/$C17^3))</f>
        <v>0</v>
      </c>
      <c r="K18" s="37">
        <f>IF(K$4&lt;$D17,$B17*$E17^2*(3*$D17+$E17)/$C17^3,IF(K$4=$D17,0,-1*$B17*$D17^2*($D17+3*$E17)/$C17^3))</f>
        <v>0</v>
      </c>
      <c r="L18" s="37">
        <f>IF(L$4&lt;$D17,$B17*$E17^2*(3*$D17+$E17)/$C17^3,IF(L$4=$D17,0,-1*$B17*$D17^2*($D17+3*$E17)/$C17^3))</f>
        <v>0</v>
      </c>
      <c r="M18" s="75">
        <f>IF(M$4&lt;$D17,$B17*$E17^2*(3*$D17+$E17)/$C17^3,IF(M$4=$D17,-B17,-1*$B17*$D17^2*($D17+3*$E17)/$C17^3))</f>
        <v>0</v>
      </c>
      <c r="N18" s="18"/>
      <c r="O18" s="10"/>
      <c r="P18" s="18"/>
    </row>
    <row r="19" spans="1:16" ht="14.25" thickBot="1">
      <c r="A19" s="72"/>
      <c r="B19" s="41"/>
      <c r="C19" s="41"/>
      <c r="D19" s="41"/>
      <c r="E19" s="41"/>
      <c r="F19" s="36" t="s">
        <v>24</v>
      </c>
      <c r="G19" s="76">
        <f>IF($D$2*$D17*$E17=0,0,IF(G$4&lt;=$D17,($B17*$E17^2*G$4^2/(6*$H$2*$J$2/100000000*$D$2)*(3*$D17/$D$2-(3*$D17+$E17)*G$4/$D$2^2))*1000,($B17*$E17^2*G$4^2/(6*$H$2*$J$2/100000000*$D$2)*(3*$D17/$D$2-(3*$D17+$E17)*G$4/$D$2^2)+$B17*(G$4-$D17)^3/(6*$H$2*$J$2/100000000))*1000))</f>
        <v>0</v>
      </c>
      <c r="H19" s="76">
        <f aca="true" t="shared" si="9" ref="H19:M19">IF($D$2*$D17*$E17=0,0,IF(H$4&lt;=$D17,($B17*$E17^2*H$4^2/(6*$H$2*$J$2/100000000*$D$2)*(3*$D17/$D$2-(3*$D17+$E17)*H$4/$D$2^2))*1000,($B17*$E17^2*H$4^2/(6*$H$2*$J$2/100000000*$D$2)*(3*$D17/$D$2-(3*$D17+$E17)*H$4/$D$2^2)+$B17*(H$4-$D17)^3/(6*$H$2*$J$2/100000000))*1000))</f>
        <v>0</v>
      </c>
      <c r="I19" s="76">
        <f t="shared" si="9"/>
        <v>0</v>
      </c>
      <c r="J19" s="76">
        <f t="shared" si="9"/>
        <v>0</v>
      </c>
      <c r="K19" s="76">
        <f t="shared" si="9"/>
        <v>0</v>
      </c>
      <c r="L19" s="76">
        <f t="shared" si="9"/>
        <v>0</v>
      </c>
      <c r="M19" s="77">
        <f t="shared" si="9"/>
        <v>0</v>
      </c>
      <c r="N19" s="18"/>
      <c r="O19" s="10"/>
      <c r="P19" s="18"/>
    </row>
    <row r="20" spans="1:16" ht="14.25" thickBot="1">
      <c r="A20" s="6"/>
      <c r="B20" s="42"/>
      <c r="C20" s="42"/>
      <c r="D20" s="42"/>
      <c r="E20" s="14" t="s">
        <v>26</v>
      </c>
      <c r="F20" s="43" t="s">
        <v>25</v>
      </c>
      <c r="G20" s="44" t="e">
        <f>G5+G8+G11+G14+G17</f>
        <v>#DIV/0!</v>
      </c>
      <c r="H20" s="44" t="e">
        <f aca="true" t="shared" si="10" ref="H20:M20">H5+H8+H11+H14+H17</f>
        <v>#DIV/0!</v>
      </c>
      <c r="I20" s="44" t="e">
        <f t="shared" si="10"/>
        <v>#DIV/0!</v>
      </c>
      <c r="J20" s="44" t="e">
        <f t="shared" si="10"/>
        <v>#DIV/0!</v>
      </c>
      <c r="K20" s="44" t="e">
        <f t="shared" si="10"/>
        <v>#DIV/0!</v>
      </c>
      <c r="L20" s="44" t="e">
        <f t="shared" si="10"/>
        <v>#DIV/0!</v>
      </c>
      <c r="M20" s="45" t="e">
        <f t="shared" si="10"/>
        <v>#DIV/0!</v>
      </c>
      <c r="N20" s="10"/>
      <c r="O20" s="10"/>
      <c r="P20" s="18"/>
    </row>
    <row r="21" spans="1:16" ht="14.25" thickBot="1">
      <c r="A21" s="8"/>
      <c r="B21" s="46"/>
      <c r="C21" s="46"/>
      <c r="D21" s="46"/>
      <c r="E21" s="15" t="s">
        <v>27</v>
      </c>
      <c r="F21" s="43" t="s">
        <v>23</v>
      </c>
      <c r="G21" s="44" t="e">
        <f>G6+G9+G12+G15+G18</f>
        <v>#DIV/0!</v>
      </c>
      <c r="H21" s="44">
        <f aca="true" t="shared" si="11" ref="H21:M21">H6+H9+H12+H15+H18</f>
        <v>0</v>
      </c>
      <c r="I21" s="44">
        <f t="shared" si="11"/>
        <v>0</v>
      </c>
      <c r="J21" s="44">
        <f t="shared" si="11"/>
        <v>0</v>
      </c>
      <c r="K21" s="44">
        <f t="shared" si="11"/>
        <v>0</v>
      </c>
      <c r="L21" s="44">
        <f t="shared" si="11"/>
        <v>0</v>
      </c>
      <c r="M21" s="45">
        <f t="shared" si="11"/>
        <v>0</v>
      </c>
      <c r="N21" s="10"/>
      <c r="O21" s="10"/>
      <c r="P21" s="18"/>
    </row>
    <row r="22" spans="1:16" ht="14.25" thickBot="1">
      <c r="A22" s="8"/>
      <c r="B22" s="49"/>
      <c r="C22" s="49"/>
      <c r="D22" s="49"/>
      <c r="E22" s="15" t="s">
        <v>28</v>
      </c>
      <c r="F22" s="47" t="s">
        <v>24</v>
      </c>
      <c r="G22" s="44">
        <f>G7+G10+G13+G16+G19</f>
        <v>0</v>
      </c>
      <c r="H22" s="44">
        <f aca="true" t="shared" si="12" ref="H22:M22">H7+H10+H13+H16+H19</f>
        <v>0</v>
      </c>
      <c r="I22" s="44">
        <f t="shared" si="12"/>
        <v>0</v>
      </c>
      <c r="J22" s="44">
        <f t="shared" si="12"/>
        <v>0</v>
      </c>
      <c r="K22" s="44">
        <f t="shared" si="12"/>
        <v>0</v>
      </c>
      <c r="L22" s="44">
        <f t="shared" si="12"/>
        <v>0</v>
      </c>
      <c r="M22" s="50">
        <f t="shared" si="12"/>
        <v>0</v>
      </c>
      <c r="N22" s="10"/>
      <c r="O22" s="10"/>
      <c r="P22" s="18"/>
    </row>
    <row r="23" spans="1:16" ht="13.5">
      <c r="A23" s="3" t="s">
        <v>2</v>
      </c>
      <c r="B23" s="51" t="s">
        <v>29</v>
      </c>
      <c r="C23" s="19" t="s">
        <v>30</v>
      </c>
      <c r="D23" s="20"/>
      <c r="E23" s="20"/>
      <c r="F23" s="20"/>
      <c r="G23" s="21"/>
      <c r="H23" s="21"/>
      <c r="I23" s="21"/>
      <c r="J23" s="21"/>
      <c r="K23" s="21"/>
      <c r="L23" s="21"/>
      <c r="M23" s="23"/>
      <c r="N23" s="10"/>
      <c r="O23" s="10"/>
      <c r="P23" s="18"/>
    </row>
    <row r="24" spans="1:16" ht="14.25" thickBot="1">
      <c r="A24" s="4" t="s">
        <v>0</v>
      </c>
      <c r="B24" s="24" t="s">
        <v>31</v>
      </c>
      <c r="C24" s="24" t="s">
        <v>32</v>
      </c>
      <c r="D24" s="87"/>
      <c r="E24" s="87"/>
      <c r="F24" s="87"/>
      <c r="G24" s="26">
        <f aca="true" t="shared" si="13" ref="G24:M24">G4</f>
        <v>0</v>
      </c>
      <c r="H24" s="58">
        <f t="shared" si="13"/>
        <v>0</v>
      </c>
      <c r="I24" s="58">
        <f t="shared" si="13"/>
        <v>0</v>
      </c>
      <c r="J24" s="58">
        <f t="shared" si="13"/>
        <v>0</v>
      </c>
      <c r="K24" s="58">
        <f t="shared" si="13"/>
        <v>0</v>
      </c>
      <c r="L24" s="58">
        <f t="shared" si="13"/>
        <v>0</v>
      </c>
      <c r="M24" s="28">
        <f t="shared" si="13"/>
        <v>0</v>
      </c>
      <c r="N24" s="10"/>
      <c r="O24" s="10"/>
      <c r="P24" s="18"/>
    </row>
    <row r="25" spans="1:16" ht="13.5">
      <c r="A25" s="16"/>
      <c r="B25" s="188"/>
      <c r="C25" s="37">
        <f>C5</f>
        <v>0</v>
      </c>
      <c r="D25" s="34"/>
      <c r="E25" s="34"/>
      <c r="F25" s="33" t="s">
        <v>25</v>
      </c>
      <c r="G25" s="37" t="e">
        <f>-$B25*$C25^2/2*(1/6-G$24/$C25+G$24^2/$C25^2)</f>
        <v>#DIV/0!</v>
      </c>
      <c r="H25" s="37" t="e">
        <f>-$B25*$C25^2/2*(1/6-H$24/$C25+H$24^2/$C25^2)</f>
        <v>#DIV/0!</v>
      </c>
      <c r="I25" s="37" t="e">
        <f aca="true" t="shared" si="14" ref="I25:M27">-$B25*$C25^2/2*(1/6-I$24/$C25+I$24^2/$C25^2)</f>
        <v>#DIV/0!</v>
      </c>
      <c r="J25" s="37" t="e">
        <f t="shared" si="14"/>
        <v>#DIV/0!</v>
      </c>
      <c r="K25" s="37" t="e">
        <f t="shared" si="14"/>
        <v>#DIV/0!</v>
      </c>
      <c r="L25" s="37" t="e">
        <f t="shared" si="14"/>
        <v>#DIV/0!</v>
      </c>
      <c r="M25" s="75" t="e">
        <f t="shared" si="14"/>
        <v>#DIV/0!</v>
      </c>
      <c r="N25" s="10"/>
      <c r="O25" s="10"/>
      <c r="P25" s="18"/>
    </row>
    <row r="26" spans="1:16" ht="13.5">
      <c r="A26" s="84"/>
      <c r="B26" s="38"/>
      <c r="C26" s="85"/>
      <c r="D26" s="38"/>
      <c r="E26" s="38"/>
      <c r="F26" s="52" t="s">
        <v>23</v>
      </c>
      <c r="G26" s="37">
        <f>$B25*$C25/2-$B25*G$24</f>
        <v>0</v>
      </c>
      <c r="H26" s="37">
        <f aca="true" t="shared" si="15" ref="H26:M26">$B25*$C25/2-$B25*H$24</f>
        <v>0</v>
      </c>
      <c r="I26" s="37">
        <f t="shared" si="15"/>
        <v>0</v>
      </c>
      <c r="J26" s="37">
        <f t="shared" si="15"/>
        <v>0</v>
      </c>
      <c r="K26" s="37">
        <f t="shared" si="15"/>
        <v>0</v>
      </c>
      <c r="L26" s="37">
        <f t="shared" si="15"/>
        <v>0</v>
      </c>
      <c r="M26" s="75">
        <f t="shared" si="15"/>
        <v>0</v>
      </c>
      <c r="N26" s="10"/>
      <c r="O26" s="10"/>
      <c r="P26" s="18"/>
    </row>
    <row r="27" spans="1:16" ht="13.5">
      <c r="A27" s="17"/>
      <c r="B27" s="53"/>
      <c r="C27" s="54">
        <f>C25</f>
        <v>0</v>
      </c>
      <c r="D27" s="55"/>
      <c r="E27" s="55"/>
      <c r="F27" s="56" t="s">
        <v>25</v>
      </c>
      <c r="G27" s="54" t="e">
        <f>-$B27*$C27^2/2*(1/6-G$24/$C27+G$24^2/$C27^2)</f>
        <v>#DIV/0!</v>
      </c>
      <c r="H27" s="54" t="e">
        <f>-$B27*$C27^2/2*(1/6-H$24/$C27+H$24^2/$C27^2)</f>
        <v>#DIV/0!</v>
      </c>
      <c r="I27" s="54" t="e">
        <f t="shared" si="14"/>
        <v>#DIV/0!</v>
      </c>
      <c r="J27" s="54" t="e">
        <f t="shared" si="14"/>
        <v>#DIV/0!</v>
      </c>
      <c r="K27" s="54" t="e">
        <f t="shared" si="14"/>
        <v>#DIV/0!</v>
      </c>
      <c r="L27" s="54" t="e">
        <f t="shared" si="14"/>
        <v>#DIV/0!</v>
      </c>
      <c r="M27" s="79" t="e">
        <f t="shared" si="14"/>
        <v>#DIV/0!</v>
      </c>
      <c r="N27" s="10"/>
      <c r="O27" s="10"/>
      <c r="P27" s="18"/>
    </row>
    <row r="28" spans="1:16" ht="14.25" thickBot="1">
      <c r="A28" s="16"/>
      <c r="B28" s="34"/>
      <c r="C28" s="32"/>
      <c r="D28" s="34"/>
      <c r="E28" s="34"/>
      <c r="F28" s="33" t="s">
        <v>23</v>
      </c>
      <c r="G28" s="37">
        <f aca="true" t="shared" si="16" ref="G28:M28">$B27*$C27/2-$B27*G$24</f>
        <v>0</v>
      </c>
      <c r="H28" s="37">
        <f t="shared" si="16"/>
        <v>0</v>
      </c>
      <c r="I28" s="37">
        <f t="shared" si="16"/>
        <v>0</v>
      </c>
      <c r="J28" s="37">
        <f t="shared" si="16"/>
        <v>0</v>
      </c>
      <c r="K28" s="37">
        <f t="shared" si="16"/>
        <v>0</v>
      </c>
      <c r="L28" s="37">
        <f t="shared" si="16"/>
        <v>0</v>
      </c>
      <c r="M28" s="80">
        <f t="shared" si="16"/>
        <v>0</v>
      </c>
      <c r="N28" s="10"/>
      <c r="O28" s="10"/>
      <c r="P28" s="18"/>
    </row>
    <row r="29" spans="1:16" ht="14.25" thickBot="1">
      <c r="A29" s="81" t="s">
        <v>10</v>
      </c>
      <c r="B29" s="82">
        <f>SUM(B25:B28)</f>
        <v>0</v>
      </c>
      <c r="C29" s="83"/>
      <c r="D29" s="83"/>
      <c r="E29" s="14" t="s">
        <v>26</v>
      </c>
      <c r="F29" s="47" t="s">
        <v>25</v>
      </c>
      <c r="G29" s="30" t="e">
        <f>G25+G27</f>
        <v>#DIV/0!</v>
      </c>
      <c r="H29" s="30" t="e">
        <f aca="true" t="shared" si="17" ref="H29:M29">H25+H27</f>
        <v>#DIV/0!</v>
      </c>
      <c r="I29" s="30" t="e">
        <f t="shared" si="17"/>
        <v>#DIV/0!</v>
      </c>
      <c r="J29" s="30" t="e">
        <f t="shared" si="17"/>
        <v>#DIV/0!</v>
      </c>
      <c r="K29" s="30" t="e">
        <f t="shared" si="17"/>
        <v>#DIV/0!</v>
      </c>
      <c r="L29" s="30" t="e">
        <f t="shared" si="17"/>
        <v>#DIV/0!</v>
      </c>
      <c r="M29" s="48" t="e">
        <f t="shared" si="17"/>
        <v>#DIV/0!</v>
      </c>
      <c r="N29" s="10"/>
      <c r="O29" s="10"/>
      <c r="P29" s="18"/>
    </row>
    <row r="30" spans="1:16" ht="14.25" thickBot="1">
      <c r="A30" s="9"/>
      <c r="B30" s="57"/>
      <c r="C30" s="57"/>
      <c r="D30" s="57"/>
      <c r="E30" s="15" t="s">
        <v>33</v>
      </c>
      <c r="F30" s="43" t="s">
        <v>34</v>
      </c>
      <c r="G30" s="44">
        <f>G26+G28</f>
        <v>0</v>
      </c>
      <c r="H30" s="44">
        <f aca="true" t="shared" si="18" ref="H30:M30">H26+H28</f>
        <v>0</v>
      </c>
      <c r="I30" s="44">
        <f t="shared" si="18"/>
        <v>0</v>
      </c>
      <c r="J30" s="44">
        <f t="shared" si="18"/>
        <v>0</v>
      </c>
      <c r="K30" s="44">
        <f t="shared" si="18"/>
        <v>0</v>
      </c>
      <c r="L30" s="44">
        <f t="shared" si="18"/>
        <v>0</v>
      </c>
      <c r="M30" s="45">
        <f t="shared" si="18"/>
        <v>0</v>
      </c>
      <c r="N30" s="10"/>
      <c r="O30" s="10"/>
      <c r="P30" s="18"/>
    </row>
    <row r="31" spans="1:16" ht="14.25" thickBot="1">
      <c r="A31" s="7"/>
      <c r="B31" s="59"/>
      <c r="C31" s="59"/>
      <c r="D31" s="59"/>
      <c r="E31" s="86" t="s">
        <v>35</v>
      </c>
      <c r="F31" s="60" t="s">
        <v>36</v>
      </c>
      <c r="G31" s="58" t="e">
        <f aca="true" t="shared" si="19" ref="G31:M31">$B29*$D$2^4/(24*$H$2*$J$2/100000000)*(G$24^2/$D$2^2-2*G$24^3/$D$2^3+G$24^4/$D$2^4)*1000</f>
        <v>#DIV/0!</v>
      </c>
      <c r="H31" s="58" t="e">
        <f t="shared" si="19"/>
        <v>#DIV/0!</v>
      </c>
      <c r="I31" s="58" t="e">
        <f t="shared" si="19"/>
        <v>#DIV/0!</v>
      </c>
      <c r="J31" s="58" t="e">
        <f t="shared" si="19"/>
        <v>#DIV/0!</v>
      </c>
      <c r="K31" s="58" t="e">
        <f t="shared" si="19"/>
        <v>#DIV/0!</v>
      </c>
      <c r="L31" s="58" t="e">
        <f t="shared" si="19"/>
        <v>#DIV/0!</v>
      </c>
      <c r="M31" s="58" t="e">
        <f t="shared" si="19"/>
        <v>#DIV/0!</v>
      </c>
      <c r="N31" s="10"/>
      <c r="O31" s="11"/>
      <c r="P31" s="18"/>
    </row>
    <row r="32" spans="1:16" ht="14.25" thickBot="1">
      <c r="A32" s="5"/>
      <c r="B32" s="61"/>
      <c r="C32" s="61" t="s">
        <v>3</v>
      </c>
      <c r="D32" s="61"/>
      <c r="E32" s="62"/>
      <c r="F32" s="63" t="s">
        <v>37</v>
      </c>
      <c r="G32" s="64" t="e">
        <f aca="true" t="shared" si="20" ref="G32:M34">G29+G20</f>
        <v>#DIV/0!</v>
      </c>
      <c r="H32" s="64" t="e">
        <f t="shared" si="20"/>
        <v>#DIV/0!</v>
      </c>
      <c r="I32" s="64" t="e">
        <f t="shared" si="20"/>
        <v>#DIV/0!</v>
      </c>
      <c r="J32" s="64" t="e">
        <f t="shared" si="20"/>
        <v>#DIV/0!</v>
      </c>
      <c r="K32" s="64" t="e">
        <f t="shared" si="20"/>
        <v>#DIV/0!</v>
      </c>
      <c r="L32" s="64" t="e">
        <f t="shared" si="20"/>
        <v>#DIV/0!</v>
      </c>
      <c r="M32" s="65" t="e">
        <f t="shared" si="20"/>
        <v>#DIV/0!</v>
      </c>
      <c r="N32" s="10"/>
      <c r="O32" s="10"/>
      <c r="P32" s="18"/>
    </row>
    <row r="33" spans="1:16" ht="14.25" thickBot="1">
      <c r="A33" s="5"/>
      <c r="B33" s="61"/>
      <c r="C33" s="61" t="s">
        <v>3</v>
      </c>
      <c r="D33" s="61"/>
      <c r="E33" s="62"/>
      <c r="F33" s="63" t="s">
        <v>38</v>
      </c>
      <c r="G33" s="64" t="e">
        <f t="shared" si="20"/>
        <v>#DIV/0!</v>
      </c>
      <c r="H33" s="64">
        <f t="shared" si="20"/>
        <v>0</v>
      </c>
      <c r="I33" s="64">
        <f t="shared" si="20"/>
        <v>0</v>
      </c>
      <c r="J33" s="64">
        <f t="shared" si="20"/>
        <v>0</v>
      </c>
      <c r="K33" s="64">
        <f t="shared" si="20"/>
        <v>0</v>
      </c>
      <c r="L33" s="64">
        <f t="shared" si="20"/>
        <v>0</v>
      </c>
      <c r="M33" s="65">
        <f t="shared" si="20"/>
        <v>0</v>
      </c>
      <c r="N33" s="10"/>
      <c r="O33" s="10"/>
      <c r="P33" s="18"/>
    </row>
    <row r="34" spans="1:16" ht="14.25" thickBot="1">
      <c r="A34" s="5"/>
      <c r="B34" s="61"/>
      <c r="C34" s="61" t="s">
        <v>3</v>
      </c>
      <c r="D34" s="61"/>
      <c r="E34" s="62"/>
      <c r="F34" s="63" t="s">
        <v>39</v>
      </c>
      <c r="G34" s="64" t="e">
        <f t="shared" si="20"/>
        <v>#DIV/0!</v>
      </c>
      <c r="H34" s="64" t="e">
        <f t="shared" si="20"/>
        <v>#DIV/0!</v>
      </c>
      <c r="I34" s="64" t="e">
        <f t="shared" si="20"/>
        <v>#DIV/0!</v>
      </c>
      <c r="J34" s="64" t="e">
        <f t="shared" si="20"/>
        <v>#DIV/0!</v>
      </c>
      <c r="K34" s="64" t="e">
        <f t="shared" si="20"/>
        <v>#DIV/0!</v>
      </c>
      <c r="L34" s="64" t="e">
        <f t="shared" si="20"/>
        <v>#DIV/0!</v>
      </c>
      <c r="M34" s="65" t="e">
        <f t="shared" si="20"/>
        <v>#DIV/0!</v>
      </c>
      <c r="P34" s="18"/>
    </row>
    <row r="35" spans="1:16" ht="14.25" thickBot="1">
      <c r="A35" s="2"/>
      <c r="B35" s="10"/>
      <c r="C35" s="10"/>
      <c r="D35" s="10"/>
      <c r="E35" s="10"/>
      <c r="F35" s="10"/>
      <c r="G35" s="10" t="s">
        <v>5</v>
      </c>
      <c r="H35" s="10"/>
      <c r="J35" s="18"/>
      <c r="K35" s="10"/>
      <c r="L35" s="12" t="s">
        <v>47</v>
      </c>
      <c r="M35" s="93" t="e">
        <f>1/(MAX(G34:M34)/(D2*1000))</f>
        <v>#DIV/0!</v>
      </c>
      <c r="N35" s="10"/>
      <c r="O35" s="10"/>
      <c r="P35" s="18"/>
    </row>
    <row r="36" spans="1:16" ht="15" thickBot="1">
      <c r="A36" s="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 t="s">
        <v>45</v>
      </c>
      <c r="N36" s="10"/>
      <c r="O36" s="10"/>
      <c r="P36" s="18"/>
    </row>
    <row r="37" spans="1:16" ht="15" thickBot="1">
      <c r="A37" s="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2" t="s">
        <v>179</v>
      </c>
      <c r="M37" s="70" t="e">
        <f>MAX(ABS(G32),ABS(H32),ABS(I32),ABS(J32),ABS(K32)*ABS(L32),ABS(M32))</f>
        <v>#DIV/0!</v>
      </c>
      <c r="N37" s="10"/>
      <c r="O37" s="10"/>
      <c r="P37" s="18"/>
    </row>
    <row r="38" spans="1:16" ht="15" thickBot="1">
      <c r="A38" s="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2" t="s">
        <v>180</v>
      </c>
      <c r="M38" s="70" t="e">
        <f>MAX(ABS(G33),ABS(H33),ABS(I33),ABS(J33),ABS(K33),ABS(L33),ABS(M33))</f>
        <v>#DIV/0!</v>
      </c>
      <c r="N38" s="10"/>
      <c r="O38" s="10"/>
      <c r="P38" s="18"/>
    </row>
    <row r="39" spans="1:16" ht="14.25">
      <c r="A39" s="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8"/>
    </row>
    <row r="40" spans="1:16" ht="14.25">
      <c r="A40" s="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8"/>
    </row>
    <row r="41" spans="1:16" ht="14.25">
      <c r="A41" s="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8"/>
    </row>
    <row r="42" spans="1:16" ht="14.25">
      <c r="A42" s="2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8"/>
    </row>
    <row r="43" spans="1:16" ht="13.5">
      <c r="A43" s="2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8"/>
    </row>
    <row r="44" spans="1:16" ht="13.5">
      <c r="A44" s="1"/>
      <c r="B44" s="10"/>
      <c r="C44" s="10"/>
      <c r="D44" s="10"/>
      <c r="E44" s="10"/>
      <c r="F44" s="10"/>
      <c r="G44" s="10"/>
      <c r="H44" s="10"/>
      <c r="I44" s="66"/>
      <c r="J44" s="66"/>
      <c r="K44" s="66"/>
      <c r="L44" s="10"/>
      <c r="M44" s="10"/>
      <c r="N44" s="10"/>
      <c r="O44" s="10"/>
      <c r="P44" s="18"/>
    </row>
    <row r="45" spans="1:16" ht="13.5">
      <c r="A45" s="1"/>
      <c r="B45" s="10"/>
      <c r="C45" s="10"/>
      <c r="D45" s="10"/>
      <c r="E45" s="10"/>
      <c r="F45" s="10"/>
      <c r="G45" s="10"/>
      <c r="H45" s="10"/>
      <c r="I45" s="66"/>
      <c r="J45" s="67"/>
      <c r="K45" s="66"/>
      <c r="L45" s="10"/>
      <c r="M45" s="10"/>
      <c r="N45" s="10"/>
      <c r="O45" s="10"/>
      <c r="P45" s="18"/>
    </row>
    <row r="46" spans="1:16" ht="13.5">
      <c r="A46" s="1"/>
      <c r="B46" s="10"/>
      <c r="C46" s="10"/>
      <c r="D46" s="10"/>
      <c r="E46" s="10"/>
      <c r="F46" s="10"/>
      <c r="G46" s="10"/>
      <c r="H46" s="10"/>
      <c r="I46" s="66"/>
      <c r="J46" s="66"/>
      <c r="K46" s="66"/>
      <c r="L46" s="10"/>
      <c r="M46" s="10"/>
      <c r="N46" s="10"/>
      <c r="O46" s="10"/>
      <c r="P46" s="18"/>
    </row>
    <row r="47" spans="1:16" ht="13.5">
      <c r="A47" s="1"/>
      <c r="B47" s="10"/>
      <c r="C47" s="10"/>
      <c r="D47" s="10"/>
      <c r="E47" s="10"/>
      <c r="F47" s="10"/>
      <c r="G47" s="10"/>
      <c r="H47" s="10"/>
      <c r="I47" s="66"/>
      <c r="J47" s="66"/>
      <c r="K47" s="66"/>
      <c r="L47" s="10"/>
      <c r="M47" s="10"/>
      <c r="N47" s="10"/>
      <c r="O47" s="10"/>
      <c r="P47" s="18"/>
    </row>
    <row r="48" spans="1:16" ht="13.5">
      <c r="A48" s="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"/>
    </row>
    <row r="49" spans="1:16" ht="13.5">
      <c r="A49" s="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8"/>
    </row>
    <row r="50" spans="1:16" ht="13.5">
      <c r="A50" s="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8"/>
    </row>
    <row r="51" spans="1:16" ht="13.5">
      <c r="A51" s="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8"/>
    </row>
    <row r="52" spans="1:16" ht="13.5">
      <c r="A52" s="1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8"/>
    </row>
    <row r="53" spans="1:16" ht="13.5">
      <c r="A53" s="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8"/>
    </row>
    <row r="54" spans="1:16" ht="13.5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8"/>
    </row>
    <row r="55" spans="1:16" ht="13.5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8"/>
    </row>
    <row r="56" spans="2:16" ht="13.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0"/>
      <c r="O56" s="18"/>
      <c r="P56" s="18"/>
    </row>
    <row r="57" spans="2:16" ht="13.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0"/>
      <c r="O57" s="18"/>
      <c r="P57" s="18"/>
    </row>
    <row r="58" spans="2:16" ht="13.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8"/>
      <c r="P58" s="18"/>
    </row>
    <row r="59" spans="2:16" ht="13.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0"/>
      <c r="O59" s="18"/>
      <c r="P59" s="18"/>
    </row>
    <row r="60" spans="2:16" ht="13.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0"/>
      <c r="O60" s="18"/>
      <c r="P60" s="18"/>
    </row>
    <row r="61" spans="2:16" ht="13.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0"/>
      <c r="O61" s="18"/>
      <c r="P61" s="18"/>
    </row>
    <row r="62" spans="2:16" ht="13.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0"/>
      <c r="O62" s="18"/>
      <c r="P62" s="18"/>
    </row>
    <row r="63" spans="2:16" ht="13.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0"/>
      <c r="O63" s="18"/>
      <c r="P63" s="18"/>
    </row>
    <row r="64" spans="2:16" ht="13.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0"/>
      <c r="O64" s="18"/>
      <c r="P64" s="18"/>
    </row>
    <row r="65" spans="2:16" ht="13.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2:16" ht="13.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2:16" ht="13.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2:16" ht="13.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2:16" ht="13.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2:16" ht="13.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2:16" ht="13.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2:16" ht="13.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2:16" ht="13.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2:16" ht="13.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2:16" ht="13.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2:16" ht="13.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2:16" ht="13.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2:16" ht="13.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2:16" ht="13.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2:16" ht="13.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2:16" ht="13.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2:16" ht="13.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2:16" ht="13.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2:16" ht="13.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2:16" ht="13.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2:16" ht="13.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2:16" ht="13.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2:16" ht="13.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2:16" ht="13.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2:16" ht="13.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2:16" ht="13.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2:16" ht="13.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2:16" ht="13.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2:16" ht="13.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2:16" ht="13.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2:16" ht="13.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2:16" ht="13.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2:16" ht="13.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2:16" ht="13.5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2:16" ht="13.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2:16" ht="13.5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2:16" ht="13.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2:16" ht="13.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2:16" ht="13.5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2:16" ht="13.5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2:16" ht="13.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2:16" ht="13.5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ht="13.5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3.5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2:16" ht="13.5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16" ht="13.5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2:16" ht="13.5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2:16" ht="13.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2:16" ht="13.5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2:16" ht="13.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2:16" ht="13.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2:16" ht="13.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2:16" ht="13.5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2:16" ht="13.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2:16" ht="13.5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2:16" ht="13.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2:16" ht="13.5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2:16" ht="13.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2:16" ht="13.5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2:16" ht="13.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2:16" ht="13.5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2:16" ht="13.5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2:16" ht="13.5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2:16" ht="13.5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2:16" ht="13.5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2:16" ht="13.5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2:16" ht="13.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2:16" ht="13.5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2:16" ht="13.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2:16" ht="13.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2:16" ht="13.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2:16" ht="13.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2:16" ht="13.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2:16" ht="13.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2:16" ht="13.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2:16" ht="13.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2:16" ht="13.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2:16" ht="13.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2:16" ht="13.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2:16" ht="13.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2:16" ht="13.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2:16" ht="13.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2:16" ht="13.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2:16" ht="13.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2:16" ht="13.5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2:16" ht="13.5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2:16" ht="13.5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2:16" ht="13.5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2:16" ht="13.5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2:16" ht="13.5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2:16" ht="13.5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2:16" ht="13.5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2:16" ht="13.5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2:16" ht="13.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2:16" ht="13.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2:16" ht="13.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2:16" ht="13.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2:16" ht="13.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2:16" ht="13.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2:16" ht="13.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2:16" ht="13.5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2:16" ht="13.5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2:16" ht="13.5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2:16" ht="13.5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2:16" ht="13.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2:16" ht="13.5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2:16" ht="13.5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2:16" ht="13.5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2:16" ht="13.5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2:16" ht="13.5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spans="2:16" ht="13.5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2:16" ht="13.5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2:16" ht="13.5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2:16" ht="13.5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2:16" ht="13.5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2:16" ht="13.5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2:16" ht="13.5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2:16" ht="13.5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spans="2:16" ht="13.5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2:16" ht="13.5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spans="2:16" ht="13.5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 spans="2:16" ht="13.5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spans="2:16" ht="13.5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 spans="2:16" ht="13.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 spans="2:16" ht="13.5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 spans="2:16" ht="13.5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</row>
    <row r="192" spans="2:16" ht="13.5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</row>
    <row r="193" spans="2:16" ht="13.5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</row>
    <row r="194" spans="2:16" ht="13.5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</row>
    <row r="195" spans="2:16" ht="13.5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</row>
    <row r="196" spans="2:16" ht="13.5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</row>
    <row r="197" spans="2:16" ht="13.5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</row>
    <row r="198" spans="2:16" ht="13.5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</row>
    <row r="199" spans="2:16" ht="13.5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</row>
    <row r="200" spans="2:16" ht="13.5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spans="2:16" ht="13.5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</row>
    <row r="202" spans="2:16" ht="13.5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</row>
    <row r="203" spans="2:16" ht="13.5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</row>
    <row r="204" spans="2:16" ht="13.5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</row>
    <row r="205" spans="2:16" ht="13.5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</row>
    <row r="206" spans="2:16" ht="13.5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</row>
    <row r="207" spans="2:16" ht="13.5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</row>
    <row r="208" spans="2:16" ht="13.5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</row>
    <row r="209" spans="2:16" ht="13.5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spans="2:16" ht="13.5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 spans="2:16" ht="13.5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</row>
    <row r="212" spans="2:16" ht="13.5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</row>
    <row r="213" spans="2:16" ht="13.5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</row>
    <row r="214" spans="2:16" ht="13.5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</row>
    <row r="215" spans="2:16" ht="13.5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</row>
    <row r="216" spans="2:16" ht="13.5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</row>
    <row r="217" spans="2:16" ht="13.5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</row>
    <row r="218" spans="2:16" ht="13.5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</row>
    <row r="219" spans="2:16" ht="13.5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</row>
  </sheetData>
  <mergeCells count="1">
    <mergeCell ref="J2:K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9"/>
  <sheetViews>
    <sheetView workbookViewId="0" topLeftCell="A1">
      <selection activeCell="A25" sqref="A25:B25"/>
    </sheetView>
  </sheetViews>
  <sheetFormatPr defaultColWidth="8.796875" defaultRowHeight="14.25"/>
  <cols>
    <col min="15" max="15" width="12.69921875" style="0" bestFit="1" customWidth="1"/>
  </cols>
  <sheetData>
    <row r="1" spans="1:16" ht="14.25" thickBot="1">
      <c r="A1" s="66" t="s">
        <v>0</v>
      </c>
      <c r="B1" s="90"/>
      <c r="C1" s="91"/>
      <c r="D1" s="92"/>
      <c r="E1" s="10"/>
      <c r="F1" s="10"/>
      <c r="G1" s="10"/>
      <c r="H1" s="10"/>
      <c r="I1" s="10"/>
      <c r="J1" s="10"/>
      <c r="K1" s="10"/>
      <c r="L1" s="10"/>
      <c r="M1" s="10"/>
      <c r="N1" s="10"/>
      <c r="O1" s="10" t="s">
        <v>40</v>
      </c>
      <c r="P1" s="18"/>
    </row>
    <row r="2" spans="1:16" ht="14.25" thickBot="1">
      <c r="A2" s="10" t="s">
        <v>11</v>
      </c>
      <c r="B2" s="88"/>
      <c r="C2" s="10" t="s">
        <v>12</v>
      </c>
      <c r="D2" s="184">
        <f>'多荷重固定端長期'!D2</f>
        <v>0</v>
      </c>
      <c r="E2" s="10" t="s">
        <v>13</v>
      </c>
      <c r="F2" s="18"/>
      <c r="G2" s="12" t="s">
        <v>14</v>
      </c>
      <c r="H2" s="183">
        <v>205000000</v>
      </c>
      <c r="I2" s="12" t="s">
        <v>46</v>
      </c>
      <c r="J2" s="186">
        <f>'多荷重固定端長期'!J2</f>
        <v>0</v>
      </c>
      <c r="K2" s="187"/>
      <c r="L2" s="10" t="s">
        <v>15</v>
      </c>
      <c r="M2" s="10"/>
      <c r="N2" s="10"/>
      <c r="O2" s="10" t="s">
        <v>41</v>
      </c>
      <c r="P2" s="18"/>
    </row>
    <row r="3" spans="1:16" ht="13.5">
      <c r="A3" s="3" t="s">
        <v>1</v>
      </c>
      <c r="B3" s="19" t="s">
        <v>16</v>
      </c>
      <c r="C3" s="19" t="s">
        <v>17</v>
      </c>
      <c r="D3" s="19" t="s">
        <v>18</v>
      </c>
      <c r="E3" s="19" t="s">
        <v>19</v>
      </c>
      <c r="F3" s="20"/>
      <c r="G3" s="21" t="s">
        <v>4</v>
      </c>
      <c r="H3" s="22"/>
      <c r="I3" s="22"/>
      <c r="J3" s="22" t="s">
        <v>8</v>
      </c>
      <c r="K3" s="22"/>
      <c r="L3" s="22"/>
      <c r="M3" s="23" t="s">
        <v>9</v>
      </c>
      <c r="N3" s="18"/>
      <c r="P3" s="18"/>
    </row>
    <row r="4" spans="1:16" ht="14.25" thickBot="1">
      <c r="A4" s="4" t="s">
        <v>0</v>
      </c>
      <c r="B4" s="24" t="s">
        <v>7</v>
      </c>
      <c r="C4" s="24" t="s">
        <v>6</v>
      </c>
      <c r="D4" s="24" t="s">
        <v>6</v>
      </c>
      <c r="E4" s="24" t="s">
        <v>6</v>
      </c>
      <c r="F4" s="25"/>
      <c r="G4" s="26">
        <v>0</v>
      </c>
      <c r="H4" s="27">
        <f>D2/6</f>
        <v>0</v>
      </c>
      <c r="I4" s="27">
        <f>D2/6*2</f>
        <v>0</v>
      </c>
      <c r="J4" s="27">
        <f>D2/2</f>
        <v>0</v>
      </c>
      <c r="K4" s="27">
        <f>D2/6*4</f>
        <v>0</v>
      </c>
      <c r="L4" s="27">
        <f>D2/6*5</f>
        <v>0</v>
      </c>
      <c r="M4" s="28">
        <f>C5</f>
        <v>0</v>
      </c>
      <c r="N4" s="18"/>
      <c r="O4" s="10" t="s">
        <v>42</v>
      </c>
      <c r="P4" s="18"/>
    </row>
    <row r="5" spans="1:16" ht="13.5">
      <c r="A5" s="71"/>
      <c r="B5" s="185"/>
      <c r="C5" s="30">
        <f>D2</f>
        <v>0</v>
      </c>
      <c r="D5" s="29"/>
      <c r="E5" s="30">
        <f>C5-D5</f>
        <v>0</v>
      </c>
      <c r="F5" s="31" t="s">
        <v>20</v>
      </c>
      <c r="G5" s="73" t="e">
        <f aca="true" t="shared" si="0" ref="G5:M5">IF(G$4&lt;=$D5,$B5*$E5^2/$C5^2*(G$4*(3*$D5+$E5)/$C5-$D5),$B5*$D5^2/$C5^2*($D5+2*$E5-G$4/$C5*($D5+3*$E5)))</f>
        <v>#DIV/0!</v>
      </c>
      <c r="H5" s="73" t="e">
        <f t="shared" si="0"/>
        <v>#DIV/0!</v>
      </c>
      <c r="I5" s="73" t="e">
        <f t="shared" si="0"/>
        <v>#DIV/0!</v>
      </c>
      <c r="J5" s="73" t="e">
        <f t="shared" si="0"/>
        <v>#DIV/0!</v>
      </c>
      <c r="K5" s="73" t="e">
        <f t="shared" si="0"/>
        <v>#DIV/0!</v>
      </c>
      <c r="L5" s="73" t="e">
        <f t="shared" si="0"/>
        <v>#DIV/0!</v>
      </c>
      <c r="M5" s="74" t="e">
        <f t="shared" si="0"/>
        <v>#DIV/0!</v>
      </c>
      <c r="N5" s="18"/>
      <c r="O5" s="10"/>
      <c r="P5" s="18"/>
    </row>
    <row r="6" spans="1:16" ht="13.5">
      <c r="A6" s="16"/>
      <c r="B6" s="32"/>
      <c r="C6" s="32"/>
      <c r="D6" s="32"/>
      <c r="E6" s="32"/>
      <c r="F6" s="33" t="s">
        <v>21</v>
      </c>
      <c r="G6" s="37" t="e">
        <f>IF(G$4&lt;=$D5,$B5*$E5^2*(3*$D5+$E5)/$C5^3,IF(G$4=$D5,0,-1*$B5*$D5^2*($D5+3*$E5)/$C5^3))</f>
        <v>#DIV/0!</v>
      </c>
      <c r="H6" s="37">
        <f>IF(H$4&lt;$D5,$B5*$E5^2*(3*$D5+$E5)/$C5^3,IF(H$4=$D5,0,-1*$B5*$D5^2*($D5+3*$E5)/$C5^3))</f>
        <v>0</v>
      </c>
      <c r="I6" s="37">
        <f>IF(I$4&lt;$D5,$B5*$E5^2*(3*$D5+$E5)/$C5^3,IF(I$4=$D5,0,-1*$B5*$D5^2*($D5+3*$E5)/$C5^3))</f>
        <v>0</v>
      </c>
      <c r="J6" s="37">
        <f>IF(J$4&lt;$D5,$B5*$E5^2*(3*$D5+$E5)/$C5^3,IF(J$4=$D5,0,-1*$B5*$D5^2*($D5+3*$E5)/$C5^3))</f>
        <v>0</v>
      </c>
      <c r="K6" s="37">
        <f>IF(K$4&lt;$D5,$B5*$E5^2*(3*$D5+$E5)/$C5^3,IF(K$4=$D5,0,-1*$B5*$D5^2*($D5+3*$E5)/$C5^3))</f>
        <v>0</v>
      </c>
      <c r="L6" s="37">
        <f>IF(L$4&lt;$D5,$B5*$E5^2*(3*$D5+$E5)/$C5^3,IF(L$4=$D5,0,-1*$B5*$D5^2*($D5+3*$E5)/$C5^3))</f>
        <v>0</v>
      </c>
      <c r="M6" s="75">
        <f>IF(M$4&lt;$D5,$B5*$E5^2*(3*$D5+$E5)/$C5^3,IF(M$4=$D5,-B5,-1*$B5*$D5^2*($D5+3*$E5)/$C5^3))</f>
        <v>0</v>
      </c>
      <c r="N6" s="18"/>
      <c r="O6" s="68" t="s">
        <v>44</v>
      </c>
      <c r="P6" s="10"/>
    </row>
    <row r="7" spans="1:16" ht="14.25" thickBot="1">
      <c r="A7" s="72"/>
      <c r="B7" s="35"/>
      <c r="C7" s="35"/>
      <c r="D7" s="35"/>
      <c r="E7" s="35"/>
      <c r="F7" s="36" t="s">
        <v>22</v>
      </c>
      <c r="G7" s="76">
        <f aca="true" t="shared" si="1" ref="G7:M7">IF($D2*$D5*$E5=0,0,IF(G$4&lt;=$D5,($B5*$E5^2*G$4^2/(6*$H$2*$J$2/100000000*$D$2)*(3*$D5/$D$2-(3*$D5+$E5)*G$4/$D$2^2))*1000,($B5*$E5^2*G$4^2/(6*$H$2*$J$2/100000000*$D$2)*(3*$D5/$D$2-(3*$D5+$E5)*G$4/$D$2^2)+$B5*(G$4-$D5)^3/(6*$H$2*$J$2/100000000))*1000))</f>
        <v>0</v>
      </c>
      <c r="H7" s="76">
        <f t="shared" si="1"/>
        <v>0</v>
      </c>
      <c r="I7" s="76">
        <f t="shared" si="1"/>
        <v>0</v>
      </c>
      <c r="J7" s="76">
        <f t="shared" si="1"/>
        <v>0</v>
      </c>
      <c r="K7" s="76">
        <f t="shared" si="1"/>
        <v>0</v>
      </c>
      <c r="L7" s="76">
        <f t="shared" si="1"/>
        <v>0</v>
      </c>
      <c r="M7" s="77">
        <f t="shared" si="1"/>
        <v>0</v>
      </c>
      <c r="N7" s="18"/>
      <c r="O7" s="69" t="s">
        <v>43</v>
      </c>
      <c r="P7" s="10"/>
    </row>
    <row r="8" spans="1:16" ht="13.5">
      <c r="A8" s="16"/>
      <c r="B8" s="29"/>
      <c r="C8" s="37">
        <f>C5</f>
        <v>0</v>
      </c>
      <c r="D8" s="29"/>
      <c r="E8" s="37">
        <f>C8-D8</f>
        <v>0</v>
      </c>
      <c r="F8" s="33" t="s">
        <v>20</v>
      </c>
      <c r="G8" s="78" t="e">
        <f aca="true" t="shared" si="2" ref="G8:M8">IF(G$4&lt;=$D8,$B8*$E8^2/$C8^2*(G$4*(3*$D8+$E8)/$C8-$D8),$B8*$D8^2/$C8^2*($D8+2*$E8-G$4/$C8*($D8+3*$E8)))</f>
        <v>#DIV/0!</v>
      </c>
      <c r="H8" s="73" t="e">
        <f t="shared" si="2"/>
        <v>#DIV/0!</v>
      </c>
      <c r="I8" s="73" t="e">
        <f t="shared" si="2"/>
        <v>#DIV/0!</v>
      </c>
      <c r="J8" s="73" t="e">
        <f t="shared" si="2"/>
        <v>#DIV/0!</v>
      </c>
      <c r="K8" s="73" t="e">
        <f t="shared" si="2"/>
        <v>#DIV/0!</v>
      </c>
      <c r="L8" s="73" t="e">
        <f t="shared" si="2"/>
        <v>#DIV/0!</v>
      </c>
      <c r="M8" s="74" t="e">
        <f t="shared" si="2"/>
        <v>#DIV/0!</v>
      </c>
      <c r="N8" s="18"/>
      <c r="O8" s="10"/>
      <c r="P8" s="10"/>
    </row>
    <row r="9" spans="1:16" ht="13.5">
      <c r="A9" s="16"/>
      <c r="B9" s="32"/>
      <c r="C9" s="32"/>
      <c r="D9" s="32"/>
      <c r="E9" s="32"/>
      <c r="F9" s="33" t="s">
        <v>23</v>
      </c>
      <c r="G9" s="37" t="e">
        <f>IF(G$4&lt;=$D8,$B8*$E8^2*(3*$D8+$E8)/$C8^3,IF(G$4=$D8,0,-1*$B8*$D8^2*($D8+3*$E8)/$C8^3))</f>
        <v>#DIV/0!</v>
      </c>
      <c r="H9" s="37">
        <f>IF(H$4&lt;$D8,$B8*$E8^2*(3*$D8+$E8)/$C8^3,IF(H$4=$D8,0,-1*$B8*$D8^2*($D8+3*$E8)/$C8^3))</f>
        <v>0</v>
      </c>
      <c r="I9" s="37">
        <f>IF(I$4&lt;$D8,$B8*$E8^2*(3*$D8+$E8)/$C8^3,IF(I$4=$D8,0,-1*$B8*$D8^2*($D8+3*$E8)/$C8^3))</f>
        <v>0</v>
      </c>
      <c r="J9" s="37">
        <f>IF(J$4&lt;$D8,$B8*$E8^2*(3*$D8+$E8)/$C8^3,IF(J$4=$D8,0,-1*$B8*$D8^2*($D8+3*$E8)/$C8^3))</f>
        <v>0</v>
      </c>
      <c r="K9" s="37">
        <f>IF(K$4&lt;$D8,$B8*$E8^2*(3*$D8+$E8)/$C8^3,IF(K$4=$D8,0,-1*$B8*$D8^2*($D8+3*$E8)/$C8^3))</f>
        <v>0</v>
      </c>
      <c r="L9" s="37">
        <f>IF(L$4&lt;$D8,$B8*$E8^2*(3*$D8+$E8)/$C8^3,IF(L$4=$D8,0,-1*$B8*$D8^2*($D8+3*$E8)/$C8^3))</f>
        <v>0</v>
      </c>
      <c r="M9" s="75">
        <f>IF(M$4&lt;$D8,$B8*$E8^2*(3*$D8+$E8)/$C8^3,IF(M$4=$D8,-B8,-1*$B8*$D8^2*($D8+3*$E8)/$C8^3))</f>
        <v>0</v>
      </c>
      <c r="N9" s="18"/>
      <c r="O9" s="10"/>
      <c r="P9" s="10"/>
    </row>
    <row r="10" spans="1:16" ht="14.25" thickBot="1">
      <c r="A10" s="72"/>
      <c r="B10" s="35"/>
      <c r="C10" s="35"/>
      <c r="D10" s="35"/>
      <c r="E10" s="35"/>
      <c r="F10" s="36" t="s">
        <v>24</v>
      </c>
      <c r="G10" s="76">
        <f aca="true" t="shared" si="3" ref="G10:M10">IF($D$2*$D8*$E8=0,0,IF(G$4&lt;=$D8,($B8*$E8^2*G$4^2/(6*$H$2*$J$2/100000000*$D$2)*(3*$D8/$D$2-(3*$D8+$E8)*G$4/$D$2^2))*1000,($B8*$E8^2*G$4^2/(6*$H$2*$J$2/100000000*$D$2)*(3*$D8/$D$2-(3*$D8+$E8)*G$4/$D$2^2)+$B8*(G$4-$D8)^3/(6*$H$2*$J$2/100000000))*1000))</f>
        <v>0</v>
      </c>
      <c r="H10" s="76">
        <f t="shared" si="3"/>
        <v>0</v>
      </c>
      <c r="I10" s="76">
        <f t="shared" si="3"/>
        <v>0</v>
      </c>
      <c r="J10" s="76">
        <f t="shared" si="3"/>
        <v>0</v>
      </c>
      <c r="K10" s="76">
        <f t="shared" si="3"/>
        <v>0</v>
      </c>
      <c r="L10" s="76">
        <f t="shared" si="3"/>
        <v>0</v>
      </c>
      <c r="M10" s="77">
        <f t="shared" si="3"/>
        <v>0</v>
      </c>
      <c r="N10" s="18"/>
      <c r="O10" s="10"/>
      <c r="P10" s="10"/>
    </row>
    <row r="11" spans="1:16" ht="13.5">
      <c r="A11" s="16"/>
      <c r="B11" s="29"/>
      <c r="C11" s="37">
        <f>C5</f>
        <v>0</v>
      </c>
      <c r="D11" s="29"/>
      <c r="E11" s="37">
        <f>C11-D11</f>
        <v>0</v>
      </c>
      <c r="F11" s="33" t="s">
        <v>25</v>
      </c>
      <c r="G11" s="73" t="e">
        <f aca="true" t="shared" si="4" ref="G11:M11">IF(G$4&lt;=$D11,$B11*$E11^2/$C11^2*(G$4*(3*$D11+$E11)/$C11-$D11),$B11*$D11^2/$C11^2*($D11+2*$E11-G$4/$C11*($D11+3*$E11)))</f>
        <v>#DIV/0!</v>
      </c>
      <c r="H11" s="73" t="e">
        <f t="shared" si="4"/>
        <v>#DIV/0!</v>
      </c>
      <c r="I11" s="73" t="e">
        <f t="shared" si="4"/>
        <v>#DIV/0!</v>
      </c>
      <c r="J11" s="73" t="e">
        <f t="shared" si="4"/>
        <v>#DIV/0!</v>
      </c>
      <c r="K11" s="73" t="e">
        <f t="shared" si="4"/>
        <v>#DIV/0!</v>
      </c>
      <c r="L11" s="73" t="e">
        <f t="shared" si="4"/>
        <v>#DIV/0!</v>
      </c>
      <c r="M11" s="74" t="e">
        <f t="shared" si="4"/>
        <v>#DIV/0!</v>
      </c>
      <c r="N11" s="18"/>
      <c r="O11" s="10"/>
      <c r="P11" s="10"/>
    </row>
    <row r="12" spans="1:16" ht="13.5">
      <c r="A12" s="16"/>
      <c r="B12" s="32"/>
      <c r="C12" s="32"/>
      <c r="D12" s="32"/>
      <c r="E12" s="32"/>
      <c r="F12" s="33" t="s">
        <v>23</v>
      </c>
      <c r="G12" s="37" t="e">
        <f>IF(G$4&lt;=$D11,$B11*$E11^2*(3*$D11+$E11)/$C11^3,IF(G$4=$D11,0,-1*$B11*$D11^2*($D11+3*$E11)/$C11^3))</f>
        <v>#DIV/0!</v>
      </c>
      <c r="H12" s="37">
        <f>IF(H$4&lt;$D11,$B11*$E11^2*(3*$D11+$E11)/$C11^3,IF(H$4=$D11,0,-1*$B11*$D11^2*($D11+3*$E11)/$C11^3))</f>
        <v>0</v>
      </c>
      <c r="I12" s="37">
        <f>IF(I$4&lt;$D11,$B11*$E11^2*(3*$D11+$E11)/$C11^3,IF(I$4=$D11,0,-1*$B11*$D11^2*($D11+3*$E11)/$C11^3))</f>
        <v>0</v>
      </c>
      <c r="J12" s="37">
        <f>IF(J$4&lt;$D11,$B11*$E11^2*(3*$D11+$E11)/$C11^3,IF(J$4=$D11,0,-1*$B11*$D11^2*($D11+3*$E11)/$C11^3))</f>
        <v>0</v>
      </c>
      <c r="K12" s="37">
        <f>IF(K$4&lt;$D11,$B11*$E11^2*(3*$D11+$E11)/$C11^3,IF(K$4=$D11,0,-1*$B11*$D11^2*($D11+3*$E11)/$C11^3))</f>
        <v>0</v>
      </c>
      <c r="L12" s="37">
        <f>IF(L$4&lt;$D11,$B11*$E11^2*(3*$D11+$E11)/$C11^3,IF(L$4=$D11,0,-1*$B11*$D11^2*($D11+3*$E11)/$C11^3))</f>
        <v>0</v>
      </c>
      <c r="M12" s="75">
        <f>IF(M$4&lt;$D11,$B11*$E11^2*(3*$D11+$E11)/$C11^3,IF(M$4=$D11,-B11,-1*$B11*$D11^2*($D11+3*$E11)/$C11^3))</f>
        <v>0</v>
      </c>
      <c r="N12" s="39"/>
      <c r="O12" s="10"/>
      <c r="P12" s="18"/>
    </row>
    <row r="13" spans="1:16" ht="14.25" thickBot="1">
      <c r="A13" s="72"/>
      <c r="B13" s="35"/>
      <c r="C13" s="35"/>
      <c r="D13" s="35"/>
      <c r="E13" s="35"/>
      <c r="F13" s="36" t="s">
        <v>24</v>
      </c>
      <c r="G13" s="76">
        <f>IF($D$2*$D11*$E11=0,0,IF(G$4&lt;=$D11,($B11*$E11^2*G$4^2/(6*$H$2*$J$2/100000000*$D$2)*(3*$D11/$D$2-(3*$D11+$E11)*G$4/$D$2^2))*1000,($B11*$E11^2*G$4^2/(6*$H$2*$J$2/100000000*$D$2)*(3*$D11/$D$2-(3*$D11+$E11)*G$4/$D$2^2)+$B11*(G$4-$D11)^3/(6*$H$2*$J$2/100000000))*1000))</f>
        <v>0</v>
      </c>
      <c r="H13" s="76">
        <f aca="true" t="shared" si="5" ref="H13:M13">IF($D$2*$D11*$E11=0,0,IF(H$4&lt;=$D11,($B11*$E11^2*H$4^2/(6*$H$2*$J$2/100000000*$D$2)*(3*$D11/$D$2-(3*$D11+$E11)*H$4/$D$2^2))*1000,($B11*$E11^2*H$4^2/(6*$H$2*$J$2/100000000*$D$2)*(3*$D11/$D$2-(3*$D11+$E11)*H$4/$D$2^2)+$B11*(H$4-$D11)^3/(6*$H$2*$J$2/100000000))*1000))</f>
        <v>0</v>
      </c>
      <c r="I13" s="76">
        <f t="shared" si="5"/>
        <v>0</v>
      </c>
      <c r="J13" s="76">
        <f t="shared" si="5"/>
        <v>0</v>
      </c>
      <c r="K13" s="76">
        <f t="shared" si="5"/>
        <v>0</v>
      </c>
      <c r="L13" s="76">
        <f t="shared" si="5"/>
        <v>0</v>
      </c>
      <c r="M13" s="77">
        <f t="shared" si="5"/>
        <v>0</v>
      </c>
      <c r="N13" s="39"/>
      <c r="O13" s="10"/>
      <c r="P13" s="18"/>
    </row>
    <row r="14" spans="1:16" ht="13.5">
      <c r="A14" s="16"/>
      <c r="B14" s="29"/>
      <c r="C14" s="37">
        <f>C5</f>
        <v>0</v>
      </c>
      <c r="D14" s="29"/>
      <c r="E14" s="37">
        <f>C14-D14</f>
        <v>0</v>
      </c>
      <c r="F14" s="33" t="s">
        <v>25</v>
      </c>
      <c r="G14" s="73" t="e">
        <f aca="true" t="shared" si="6" ref="G14:M14">IF(G$4&lt;=$D14,$B14*$E14^2/$C14^2*(G$4*(3*$D14+$E14)/$C14-$D14),$B14*$D14^2/$C14^2*($D14+2*$E14-G$4/$C14*($D14+3*$E14)))</f>
        <v>#DIV/0!</v>
      </c>
      <c r="H14" s="73" t="e">
        <f t="shared" si="6"/>
        <v>#DIV/0!</v>
      </c>
      <c r="I14" s="73" t="e">
        <f t="shared" si="6"/>
        <v>#DIV/0!</v>
      </c>
      <c r="J14" s="73" t="e">
        <f t="shared" si="6"/>
        <v>#DIV/0!</v>
      </c>
      <c r="K14" s="73" t="e">
        <f t="shared" si="6"/>
        <v>#DIV/0!</v>
      </c>
      <c r="L14" s="73" t="e">
        <f t="shared" si="6"/>
        <v>#DIV/0!</v>
      </c>
      <c r="M14" s="74" t="e">
        <f t="shared" si="6"/>
        <v>#DIV/0!</v>
      </c>
      <c r="N14" s="18"/>
      <c r="O14" s="10"/>
      <c r="P14" s="18"/>
    </row>
    <row r="15" spans="1:16" ht="13.5">
      <c r="A15" s="16"/>
      <c r="B15" s="32"/>
      <c r="C15" s="32"/>
      <c r="D15" s="32"/>
      <c r="E15" s="32"/>
      <c r="F15" s="33" t="s">
        <v>23</v>
      </c>
      <c r="G15" s="37" t="e">
        <f>IF(G$4&lt;=$D14,$B14*$E14^2*(3*$D14+$E14)/$C14^3,IF(G$4=$D14,0,-1*$B14*$D14^2*($D14+3*$E14)/$C14^3))</f>
        <v>#DIV/0!</v>
      </c>
      <c r="H15" s="37">
        <f>IF(H$4&lt;$D14,$B14*$E14^2*(3*$D14+$E14)/$C14^3,IF(H$4=$D14,0,-1*$B14*$D14^2*($D14+3*$E14)/$C14^3))</f>
        <v>0</v>
      </c>
      <c r="I15" s="37">
        <f>IF(I$4&lt;$D14,$B14*$E14^2*(3*$D14+$E14)/$C14^3,IF(I$4=$D14,0,-1*$B14*$D14^2*($D14+3*$E14)/$C14^3))</f>
        <v>0</v>
      </c>
      <c r="J15" s="37">
        <f>IF(J$4&lt;$D14,$B14*$E14^2*(3*$D14+$E14)/$C14^3,IF(J$4=$D14,0,-1*$B14*$D14^2*($D14+3*$E14)/$C14^3))</f>
        <v>0</v>
      </c>
      <c r="K15" s="37">
        <f>IF(K$4&lt;$D14,$B14*$E14^2*(3*$D14+$E14)/$C14^3,IF(K$4=$D14,0,-1*$B14*$D14^2*($D14+3*$E14)/$C14^3))</f>
        <v>0</v>
      </c>
      <c r="L15" s="37">
        <f>IF(L$4&lt;$D14,$B14*$E14^2*(3*$D14+$E14)/$C14^3,IF(L$4=$D14,0,-1*$B14*$D14^2*($D14+3*$E14)/$C14^3))</f>
        <v>0</v>
      </c>
      <c r="M15" s="75">
        <f>IF(M$4&lt;$D14,$B14*$E14^2*(3*$D14+$E14)/$C14^3,IF(M$4=$D14,-B14,-1*$B14*$D14^2*($D14+3*$E14)/$C14^3))</f>
        <v>0</v>
      </c>
      <c r="N15" s="18"/>
      <c r="O15" s="10"/>
      <c r="P15" s="18"/>
    </row>
    <row r="16" spans="1:16" ht="14.25" thickBot="1">
      <c r="A16" s="72"/>
      <c r="B16" s="35"/>
      <c r="C16" s="35"/>
      <c r="D16" s="35"/>
      <c r="E16" s="35"/>
      <c r="F16" s="36" t="s">
        <v>24</v>
      </c>
      <c r="G16" s="76">
        <f>IF($D$2*$D14*$E14=0,0,IF(G$4&lt;=$D14,($B14*$E14^2*G$4^2/(6*$H$2*$J$2/100000000*$D$2)*(3*$D14/$D$2-(3*$D14+$E14)*G$4/$D$2^2))*1000,($B14*$E14^2*G$4^2/(6*$H$2*$J$2/100000000*$D$2)*(3*$D14/$D$2-(3*$D14+$E14)*G$4/$D$2^2)+$B14*(G$4-$D14)^3/(6*$H$2*$J$2/100000000))*1000))</f>
        <v>0</v>
      </c>
      <c r="H16" s="76">
        <f aca="true" t="shared" si="7" ref="H16:M16">IF($D$2*$D14*$E14=0,0,IF(H$4&lt;=$D14,($B14*$E14^2*H$4^2/(6*$H$2*$J$2/100000000*$D$2)*(3*$D14/$D$2-(3*$D14+$E14)*H$4/$D$2^2))*1000,($B14*$E14^2*H$4^2/(6*$H$2*$J$2/100000000*$D$2)*(3*$D14/$D$2-(3*$D14+$E14)*H$4/$D$2^2)+$B14*(H$4-$D14)^3/(6*$H$2*$J$2/100000000))*1000))</f>
        <v>0</v>
      </c>
      <c r="I16" s="76">
        <f t="shared" si="7"/>
        <v>0</v>
      </c>
      <c r="J16" s="76">
        <f t="shared" si="7"/>
        <v>0</v>
      </c>
      <c r="K16" s="76">
        <f t="shared" si="7"/>
        <v>0</v>
      </c>
      <c r="L16" s="76">
        <f t="shared" si="7"/>
        <v>0</v>
      </c>
      <c r="M16" s="77">
        <f t="shared" si="7"/>
        <v>0</v>
      </c>
      <c r="N16" s="18"/>
      <c r="O16" s="10"/>
      <c r="P16" s="18"/>
    </row>
    <row r="17" spans="1:16" ht="13.5">
      <c r="A17" s="16"/>
      <c r="B17" s="29"/>
      <c r="C17" s="37">
        <f>C5</f>
        <v>0</v>
      </c>
      <c r="D17" s="29"/>
      <c r="E17" s="37">
        <f>C17-D17</f>
        <v>0</v>
      </c>
      <c r="F17" s="33" t="s">
        <v>25</v>
      </c>
      <c r="G17" s="73" t="e">
        <f aca="true" t="shared" si="8" ref="G17:M17">IF(G$4&lt;=$D17,$B17*$E17^2/$C17^2*(G$4*(3*$D17+$E17)/$C17-$D17),$B17*$D17^2/$C17^2*($D17+2*$E17-G$4/$C17*($D17+3*$E17)))</f>
        <v>#DIV/0!</v>
      </c>
      <c r="H17" s="73" t="e">
        <f t="shared" si="8"/>
        <v>#DIV/0!</v>
      </c>
      <c r="I17" s="73" t="e">
        <f t="shared" si="8"/>
        <v>#DIV/0!</v>
      </c>
      <c r="J17" s="73" t="e">
        <f t="shared" si="8"/>
        <v>#DIV/0!</v>
      </c>
      <c r="K17" s="73" t="e">
        <f t="shared" si="8"/>
        <v>#DIV/0!</v>
      </c>
      <c r="L17" s="73" t="e">
        <f t="shared" si="8"/>
        <v>#DIV/0!</v>
      </c>
      <c r="M17" s="74" t="e">
        <f t="shared" si="8"/>
        <v>#DIV/0!</v>
      </c>
      <c r="N17" s="18"/>
      <c r="O17" s="10"/>
      <c r="P17" s="18"/>
    </row>
    <row r="18" spans="1:16" ht="13.5">
      <c r="A18" s="16"/>
      <c r="B18" s="40"/>
      <c r="C18" s="40"/>
      <c r="D18" s="40"/>
      <c r="E18" s="40"/>
      <c r="F18" s="33" t="s">
        <v>23</v>
      </c>
      <c r="G18" s="37" t="e">
        <f>IF(G$4&lt;=$D17,$B17*$E17^2*(3*$D17+$E17)/$C17^3,IF(G$4=$D17,0,-1*$B17*$D17^2*($D17+3*$E17)/$C17^3))</f>
        <v>#DIV/0!</v>
      </c>
      <c r="H18" s="37">
        <f>IF(H$4&lt;$D17,$B17*$E17^2*(3*$D17+$E17)/$C17^3,IF(H$4=$D17,0,-1*$B17*$D17^2*($D17+3*$E17)/$C17^3))</f>
        <v>0</v>
      </c>
      <c r="I18" s="37">
        <f>IF(I$4&lt;$D17,$B17*$E17^2*(3*$D17+$E17)/$C17^3,IF(I$4=$D17,0,-1*$B17*$D17^2*($D17+3*$E17)/$C17^3))</f>
        <v>0</v>
      </c>
      <c r="J18" s="37">
        <f>IF(J$4&lt;$D17,$B17*$E17^2*(3*$D17+$E17)/$C17^3,IF(J$4=$D17,0,-1*$B17*$D17^2*($D17+3*$E17)/$C17^3))</f>
        <v>0</v>
      </c>
      <c r="K18" s="37">
        <f>IF(K$4&lt;$D17,$B17*$E17^2*(3*$D17+$E17)/$C17^3,IF(K$4=$D17,0,-1*$B17*$D17^2*($D17+3*$E17)/$C17^3))</f>
        <v>0</v>
      </c>
      <c r="L18" s="37">
        <f>IF(L$4&lt;$D17,$B17*$E17^2*(3*$D17+$E17)/$C17^3,IF(L$4=$D17,0,-1*$B17*$D17^2*($D17+3*$E17)/$C17^3))</f>
        <v>0</v>
      </c>
      <c r="M18" s="75">
        <f>IF(M$4&lt;$D17,$B17*$E17^2*(3*$D17+$E17)/$C17^3,IF(M$4=$D17,-B17,-1*$B17*$D17^2*($D17+3*$E17)/$C17^3))</f>
        <v>0</v>
      </c>
      <c r="N18" s="18"/>
      <c r="O18" s="10"/>
      <c r="P18" s="18"/>
    </row>
    <row r="19" spans="1:16" ht="14.25" thickBot="1">
      <c r="A19" s="72"/>
      <c r="B19" s="41"/>
      <c r="C19" s="41"/>
      <c r="D19" s="41"/>
      <c r="E19" s="41"/>
      <c r="F19" s="36" t="s">
        <v>24</v>
      </c>
      <c r="G19" s="76">
        <f>IF($D$2*$D17*$E17=0,0,IF(G$4&lt;=$D17,($B17*$E17^2*G$4^2/(6*$H$2*$J$2/100000000*$D$2)*(3*$D17/$D$2-(3*$D17+$E17)*G$4/$D$2^2))*1000,($B17*$E17^2*G$4^2/(6*$H$2*$J$2/100000000*$D$2)*(3*$D17/$D$2-(3*$D17+$E17)*G$4/$D$2^2)+$B17*(G$4-$D17)^3/(6*$H$2*$J$2/100000000))*1000))</f>
        <v>0</v>
      </c>
      <c r="H19" s="76">
        <f aca="true" t="shared" si="9" ref="H19:M19">IF($D$2*$D17*$E17=0,0,IF(H$4&lt;=$D17,($B17*$E17^2*H$4^2/(6*$H$2*$J$2/100000000*$D$2)*(3*$D17/$D$2-(3*$D17+$E17)*H$4/$D$2^2))*1000,($B17*$E17^2*H$4^2/(6*$H$2*$J$2/100000000*$D$2)*(3*$D17/$D$2-(3*$D17+$E17)*H$4/$D$2^2)+$B17*(H$4-$D17)^3/(6*$H$2*$J$2/100000000))*1000))</f>
        <v>0</v>
      </c>
      <c r="I19" s="76">
        <f t="shared" si="9"/>
        <v>0</v>
      </c>
      <c r="J19" s="76">
        <f t="shared" si="9"/>
        <v>0</v>
      </c>
      <c r="K19" s="76">
        <f t="shared" si="9"/>
        <v>0</v>
      </c>
      <c r="L19" s="76">
        <f t="shared" si="9"/>
        <v>0</v>
      </c>
      <c r="M19" s="77">
        <f t="shared" si="9"/>
        <v>0</v>
      </c>
      <c r="N19" s="18"/>
      <c r="O19" s="10"/>
      <c r="P19" s="18"/>
    </row>
    <row r="20" spans="1:16" ht="14.25" thickBot="1">
      <c r="A20" s="6"/>
      <c r="B20" s="42"/>
      <c r="C20" s="42"/>
      <c r="D20" s="42"/>
      <c r="E20" s="14" t="s">
        <v>26</v>
      </c>
      <c r="F20" s="43" t="s">
        <v>25</v>
      </c>
      <c r="G20" s="44" t="e">
        <f>G5+G8+G11+G14+G17</f>
        <v>#DIV/0!</v>
      </c>
      <c r="H20" s="44" t="e">
        <f aca="true" t="shared" si="10" ref="H20:M22">H5+H8+H11+H14+H17</f>
        <v>#DIV/0!</v>
      </c>
      <c r="I20" s="44" t="e">
        <f t="shared" si="10"/>
        <v>#DIV/0!</v>
      </c>
      <c r="J20" s="44" t="e">
        <f t="shared" si="10"/>
        <v>#DIV/0!</v>
      </c>
      <c r="K20" s="44" t="e">
        <f t="shared" si="10"/>
        <v>#DIV/0!</v>
      </c>
      <c r="L20" s="44" t="e">
        <f t="shared" si="10"/>
        <v>#DIV/0!</v>
      </c>
      <c r="M20" s="45" t="e">
        <f t="shared" si="10"/>
        <v>#DIV/0!</v>
      </c>
      <c r="N20" s="10"/>
      <c r="O20" s="10"/>
      <c r="P20" s="18"/>
    </row>
    <row r="21" spans="1:16" ht="14.25" thickBot="1">
      <c r="A21" s="8"/>
      <c r="B21" s="46"/>
      <c r="C21" s="46"/>
      <c r="D21" s="46"/>
      <c r="E21" s="15" t="s">
        <v>27</v>
      </c>
      <c r="F21" s="43" t="s">
        <v>23</v>
      </c>
      <c r="G21" s="44" t="e">
        <f>G6+G9+G12+G15+G18</f>
        <v>#DIV/0!</v>
      </c>
      <c r="H21" s="44">
        <f t="shared" si="10"/>
        <v>0</v>
      </c>
      <c r="I21" s="44">
        <f t="shared" si="10"/>
        <v>0</v>
      </c>
      <c r="J21" s="44">
        <f t="shared" si="10"/>
        <v>0</v>
      </c>
      <c r="K21" s="44">
        <f t="shared" si="10"/>
        <v>0</v>
      </c>
      <c r="L21" s="44">
        <f t="shared" si="10"/>
        <v>0</v>
      </c>
      <c r="M21" s="45">
        <f t="shared" si="10"/>
        <v>0</v>
      </c>
      <c r="N21" s="10"/>
      <c r="O21" s="10"/>
      <c r="P21" s="18"/>
    </row>
    <row r="22" spans="1:16" ht="14.25" thickBot="1">
      <c r="A22" s="8"/>
      <c r="B22" s="49"/>
      <c r="C22" s="49"/>
      <c r="D22" s="49"/>
      <c r="E22" s="15" t="s">
        <v>28</v>
      </c>
      <c r="F22" s="47" t="s">
        <v>24</v>
      </c>
      <c r="G22" s="44">
        <f>G7+G10+G13+G16+G19</f>
        <v>0</v>
      </c>
      <c r="H22" s="44">
        <f t="shared" si="10"/>
        <v>0</v>
      </c>
      <c r="I22" s="44">
        <f t="shared" si="10"/>
        <v>0</v>
      </c>
      <c r="J22" s="44">
        <f t="shared" si="10"/>
        <v>0</v>
      </c>
      <c r="K22" s="44">
        <f t="shared" si="10"/>
        <v>0</v>
      </c>
      <c r="L22" s="44">
        <f t="shared" si="10"/>
        <v>0</v>
      </c>
      <c r="M22" s="50">
        <f t="shared" si="10"/>
        <v>0</v>
      </c>
      <c r="N22" s="10"/>
      <c r="O22" s="10"/>
      <c r="P22" s="18"/>
    </row>
    <row r="23" spans="1:16" ht="13.5">
      <c r="A23" s="3" t="s">
        <v>2</v>
      </c>
      <c r="B23" s="51" t="s">
        <v>29</v>
      </c>
      <c r="C23" s="19" t="s">
        <v>30</v>
      </c>
      <c r="D23" s="20"/>
      <c r="E23" s="20"/>
      <c r="F23" s="20"/>
      <c r="G23" s="21"/>
      <c r="H23" s="21"/>
      <c r="I23" s="21"/>
      <c r="J23" s="21"/>
      <c r="K23" s="21"/>
      <c r="L23" s="21"/>
      <c r="M23" s="23"/>
      <c r="N23" s="10"/>
      <c r="O23" s="10"/>
      <c r="P23" s="18"/>
    </row>
    <row r="24" spans="1:16" ht="14.25" thickBot="1">
      <c r="A24" s="4" t="s">
        <v>0</v>
      </c>
      <c r="B24" s="24" t="s">
        <v>31</v>
      </c>
      <c r="C24" s="24" t="s">
        <v>32</v>
      </c>
      <c r="D24" s="87"/>
      <c r="E24" s="87"/>
      <c r="F24" s="87"/>
      <c r="G24" s="26">
        <f aca="true" t="shared" si="11" ref="G24:M24">G4</f>
        <v>0</v>
      </c>
      <c r="H24" s="58">
        <f t="shared" si="11"/>
        <v>0</v>
      </c>
      <c r="I24" s="58">
        <f t="shared" si="11"/>
        <v>0</v>
      </c>
      <c r="J24" s="58">
        <f t="shared" si="11"/>
        <v>0</v>
      </c>
      <c r="K24" s="58">
        <f t="shared" si="11"/>
        <v>0</v>
      </c>
      <c r="L24" s="58">
        <f t="shared" si="11"/>
        <v>0</v>
      </c>
      <c r="M24" s="28">
        <f t="shared" si="11"/>
        <v>0</v>
      </c>
      <c r="N24" s="10"/>
      <c r="O24" s="10"/>
      <c r="P24" s="18"/>
    </row>
    <row r="25" spans="1:16" ht="13.5">
      <c r="A25" s="16"/>
      <c r="B25" s="188"/>
      <c r="C25" s="37">
        <f>C5</f>
        <v>0</v>
      </c>
      <c r="D25" s="34"/>
      <c r="E25" s="34"/>
      <c r="F25" s="33" t="s">
        <v>25</v>
      </c>
      <c r="G25" s="37" t="e">
        <f>-$B25*$C25^2/2*(1/6-G$24/$C25+G$24^2/$C25^2)</f>
        <v>#DIV/0!</v>
      </c>
      <c r="H25" s="37" t="e">
        <f>-$B25*$C25^2/2*(1/6-H$24/$C25+H$24^2/$C25^2)</f>
        <v>#DIV/0!</v>
      </c>
      <c r="I25" s="37" t="e">
        <f aca="true" t="shared" si="12" ref="I25:M27">-$B25*$C25^2/2*(1/6-I$24/$C25+I$24^2/$C25^2)</f>
        <v>#DIV/0!</v>
      </c>
      <c r="J25" s="37" t="e">
        <f t="shared" si="12"/>
        <v>#DIV/0!</v>
      </c>
      <c r="K25" s="37" t="e">
        <f t="shared" si="12"/>
        <v>#DIV/0!</v>
      </c>
      <c r="L25" s="37" t="e">
        <f t="shared" si="12"/>
        <v>#DIV/0!</v>
      </c>
      <c r="M25" s="75" t="e">
        <f t="shared" si="12"/>
        <v>#DIV/0!</v>
      </c>
      <c r="N25" s="10"/>
      <c r="O25" s="10"/>
      <c r="P25" s="18"/>
    </row>
    <row r="26" spans="1:16" ht="13.5">
      <c r="A26" s="84"/>
      <c r="B26" s="38"/>
      <c r="C26" s="85"/>
      <c r="D26" s="38"/>
      <c r="E26" s="38"/>
      <c r="F26" s="52" t="s">
        <v>23</v>
      </c>
      <c r="G26" s="37">
        <f>$B25*$C25/2-$B25*G$24</f>
        <v>0</v>
      </c>
      <c r="H26" s="37">
        <f aca="true" t="shared" si="13" ref="H26:M26">$B25*$C25/2-$B25*H$24</f>
        <v>0</v>
      </c>
      <c r="I26" s="37">
        <f t="shared" si="13"/>
        <v>0</v>
      </c>
      <c r="J26" s="37">
        <f t="shared" si="13"/>
        <v>0</v>
      </c>
      <c r="K26" s="37">
        <f t="shared" si="13"/>
        <v>0</v>
      </c>
      <c r="L26" s="37">
        <f t="shared" si="13"/>
        <v>0</v>
      </c>
      <c r="M26" s="75">
        <f t="shared" si="13"/>
        <v>0</v>
      </c>
      <c r="N26" s="10"/>
      <c r="O26" s="10"/>
      <c r="P26" s="18"/>
    </row>
    <row r="27" spans="1:16" ht="13.5">
      <c r="A27" s="17"/>
      <c r="B27" s="53"/>
      <c r="C27" s="54">
        <f>C25</f>
        <v>0</v>
      </c>
      <c r="D27" s="55"/>
      <c r="E27" s="55"/>
      <c r="F27" s="56" t="s">
        <v>25</v>
      </c>
      <c r="G27" s="54" t="e">
        <f>-$B27*$C27^2/2*(1/6-G$24/$C27+G$24^2/$C27^2)</f>
        <v>#DIV/0!</v>
      </c>
      <c r="H27" s="54" t="e">
        <f>-$B27*$C27^2/2*(1/6-H$24/$C27+H$24^2/$C27^2)</f>
        <v>#DIV/0!</v>
      </c>
      <c r="I27" s="54" t="e">
        <f t="shared" si="12"/>
        <v>#DIV/0!</v>
      </c>
      <c r="J27" s="54" t="e">
        <f t="shared" si="12"/>
        <v>#DIV/0!</v>
      </c>
      <c r="K27" s="54" t="e">
        <f t="shared" si="12"/>
        <v>#DIV/0!</v>
      </c>
      <c r="L27" s="54" t="e">
        <f t="shared" si="12"/>
        <v>#DIV/0!</v>
      </c>
      <c r="M27" s="79" t="e">
        <f t="shared" si="12"/>
        <v>#DIV/0!</v>
      </c>
      <c r="N27" s="10"/>
      <c r="O27" s="10"/>
      <c r="P27" s="18"/>
    </row>
    <row r="28" spans="1:16" ht="14.25" thickBot="1">
      <c r="A28" s="16"/>
      <c r="B28" s="34"/>
      <c r="C28" s="32"/>
      <c r="D28" s="34"/>
      <c r="E28" s="34"/>
      <c r="F28" s="33" t="s">
        <v>23</v>
      </c>
      <c r="G28" s="37">
        <f aca="true" t="shared" si="14" ref="G28:M28">$B27*$C27/2-$B27*G$24</f>
        <v>0</v>
      </c>
      <c r="H28" s="37">
        <f t="shared" si="14"/>
        <v>0</v>
      </c>
      <c r="I28" s="37">
        <f t="shared" si="14"/>
        <v>0</v>
      </c>
      <c r="J28" s="37">
        <f t="shared" si="14"/>
        <v>0</v>
      </c>
      <c r="K28" s="37">
        <f t="shared" si="14"/>
        <v>0</v>
      </c>
      <c r="L28" s="37">
        <f t="shared" si="14"/>
        <v>0</v>
      </c>
      <c r="M28" s="80">
        <f t="shared" si="14"/>
        <v>0</v>
      </c>
      <c r="N28" s="10"/>
      <c r="O28" s="10"/>
      <c r="P28" s="18"/>
    </row>
    <row r="29" spans="1:16" ht="14.25" thickBot="1">
      <c r="A29" s="81" t="s">
        <v>10</v>
      </c>
      <c r="B29" s="82">
        <f>SUM(B25:B28)</f>
        <v>0</v>
      </c>
      <c r="C29" s="83"/>
      <c r="D29" s="83"/>
      <c r="E29" s="14" t="s">
        <v>26</v>
      </c>
      <c r="F29" s="47" t="s">
        <v>25</v>
      </c>
      <c r="G29" s="30" t="e">
        <f>G25+G27</f>
        <v>#DIV/0!</v>
      </c>
      <c r="H29" s="30" t="e">
        <f aca="true" t="shared" si="15" ref="H29:M30">H25+H27</f>
        <v>#DIV/0!</v>
      </c>
      <c r="I29" s="30" t="e">
        <f t="shared" si="15"/>
        <v>#DIV/0!</v>
      </c>
      <c r="J29" s="30" t="e">
        <f t="shared" si="15"/>
        <v>#DIV/0!</v>
      </c>
      <c r="K29" s="30" t="e">
        <f t="shared" si="15"/>
        <v>#DIV/0!</v>
      </c>
      <c r="L29" s="30" t="e">
        <f t="shared" si="15"/>
        <v>#DIV/0!</v>
      </c>
      <c r="M29" s="48" t="e">
        <f t="shared" si="15"/>
        <v>#DIV/0!</v>
      </c>
      <c r="N29" s="10"/>
      <c r="O29" s="10"/>
      <c r="P29" s="18"/>
    </row>
    <row r="30" spans="1:16" ht="14.25" thickBot="1">
      <c r="A30" s="9"/>
      <c r="B30" s="57"/>
      <c r="C30" s="57"/>
      <c r="D30" s="57"/>
      <c r="E30" s="15" t="s">
        <v>33</v>
      </c>
      <c r="F30" s="43" t="s">
        <v>34</v>
      </c>
      <c r="G30" s="44">
        <f>G26+G28</f>
        <v>0</v>
      </c>
      <c r="H30" s="44">
        <f t="shared" si="15"/>
        <v>0</v>
      </c>
      <c r="I30" s="44">
        <f t="shared" si="15"/>
        <v>0</v>
      </c>
      <c r="J30" s="44">
        <f t="shared" si="15"/>
        <v>0</v>
      </c>
      <c r="K30" s="44">
        <f t="shared" si="15"/>
        <v>0</v>
      </c>
      <c r="L30" s="44">
        <f t="shared" si="15"/>
        <v>0</v>
      </c>
      <c r="M30" s="45">
        <f t="shared" si="15"/>
        <v>0</v>
      </c>
      <c r="N30" s="10"/>
      <c r="O30" s="10"/>
      <c r="P30" s="18"/>
    </row>
    <row r="31" spans="1:16" ht="14.25" thickBot="1">
      <c r="A31" s="7"/>
      <c r="B31" s="59"/>
      <c r="C31" s="59"/>
      <c r="D31" s="59"/>
      <c r="E31" s="86" t="s">
        <v>35</v>
      </c>
      <c r="F31" s="60" t="s">
        <v>36</v>
      </c>
      <c r="G31" s="58" t="e">
        <f aca="true" t="shared" si="16" ref="G31:M31">$B29*$D$2^4/(24*$H$2*$J$2/100000000)*(G$24^2/$D$2^2-2*G$24^3/$D$2^3+G$24^4/$D$2^4)*1000</f>
        <v>#DIV/0!</v>
      </c>
      <c r="H31" s="58" t="e">
        <f t="shared" si="16"/>
        <v>#DIV/0!</v>
      </c>
      <c r="I31" s="58" t="e">
        <f t="shared" si="16"/>
        <v>#DIV/0!</v>
      </c>
      <c r="J31" s="58" t="e">
        <f t="shared" si="16"/>
        <v>#DIV/0!</v>
      </c>
      <c r="K31" s="58" t="e">
        <f t="shared" si="16"/>
        <v>#DIV/0!</v>
      </c>
      <c r="L31" s="58" t="e">
        <f t="shared" si="16"/>
        <v>#DIV/0!</v>
      </c>
      <c r="M31" s="58" t="e">
        <f t="shared" si="16"/>
        <v>#DIV/0!</v>
      </c>
      <c r="N31" s="10"/>
      <c r="O31" s="11"/>
      <c r="P31" s="18"/>
    </row>
    <row r="32" spans="1:16" ht="14.25" thickBot="1">
      <c r="A32" s="5"/>
      <c r="B32" s="61"/>
      <c r="C32" s="61" t="s">
        <v>3</v>
      </c>
      <c r="D32" s="61"/>
      <c r="E32" s="62"/>
      <c r="F32" s="63" t="s">
        <v>37</v>
      </c>
      <c r="G32" s="64" t="e">
        <f aca="true" t="shared" si="17" ref="G32:M34">G29+G20</f>
        <v>#DIV/0!</v>
      </c>
      <c r="H32" s="64" t="e">
        <f t="shared" si="17"/>
        <v>#DIV/0!</v>
      </c>
      <c r="I32" s="64" t="e">
        <f t="shared" si="17"/>
        <v>#DIV/0!</v>
      </c>
      <c r="J32" s="64" t="e">
        <f t="shared" si="17"/>
        <v>#DIV/0!</v>
      </c>
      <c r="K32" s="64" t="e">
        <f t="shared" si="17"/>
        <v>#DIV/0!</v>
      </c>
      <c r="L32" s="64" t="e">
        <f t="shared" si="17"/>
        <v>#DIV/0!</v>
      </c>
      <c r="M32" s="65" t="e">
        <f t="shared" si="17"/>
        <v>#DIV/0!</v>
      </c>
      <c r="N32" s="10"/>
      <c r="O32" s="10"/>
      <c r="P32" s="18"/>
    </row>
    <row r="33" spans="1:16" ht="14.25" thickBot="1">
      <c r="A33" s="5"/>
      <c r="B33" s="61"/>
      <c r="C33" s="61" t="s">
        <v>3</v>
      </c>
      <c r="D33" s="61"/>
      <c r="E33" s="62"/>
      <c r="F33" s="63" t="s">
        <v>38</v>
      </c>
      <c r="G33" s="64" t="e">
        <f t="shared" si="17"/>
        <v>#DIV/0!</v>
      </c>
      <c r="H33" s="64">
        <f t="shared" si="17"/>
        <v>0</v>
      </c>
      <c r="I33" s="64">
        <f t="shared" si="17"/>
        <v>0</v>
      </c>
      <c r="J33" s="64">
        <f t="shared" si="17"/>
        <v>0</v>
      </c>
      <c r="K33" s="64">
        <f t="shared" si="17"/>
        <v>0</v>
      </c>
      <c r="L33" s="64">
        <f t="shared" si="17"/>
        <v>0</v>
      </c>
      <c r="M33" s="65">
        <f t="shared" si="17"/>
        <v>0</v>
      </c>
      <c r="N33" s="10"/>
      <c r="O33" s="10"/>
      <c r="P33" s="18"/>
    </row>
    <row r="34" spans="1:16" ht="14.25" thickBot="1">
      <c r="A34" s="5"/>
      <c r="B34" s="61"/>
      <c r="C34" s="61" t="s">
        <v>3</v>
      </c>
      <c r="D34" s="61"/>
      <c r="E34" s="62"/>
      <c r="F34" s="63" t="s">
        <v>39</v>
      </c>
      <c r="G34" s="64" t="e">
        <f t="shared" si="17"/>
        <v>#DIV/0!</v>
      </c>
      <c r="H34" s="64" t="e">
        <f t="shared" si="17"/>
        <v>#DIV/0!</v>
      </c>
      <c r="I34" s="64" t="e">
        <f t="shared" si="17"/>
        <v>#DIV/0!</v>
      </c>
      <c r="J34" s="64" t="e">
        <f t="shared" si="17"/>
        <v>#DIV/0!</v>
      </c>
      <c r="K34" s="64" t="e">
        <f t="shared" si="17"/>
        <v>#DIV/0!</v>
      </c>
      <c r="L34" s="64" t="e">
        <f t="shared" si="17"/>
        <v>#DIV/0!</v>
      </c>
      <c r="M34" s="65" t="e">
        <f t="shared" si="17"/>
        <v>#DIV/0!</v>
      </c>
      <c r="P34" s="18"/>
    </row>
    <row r="35" spans="1:16" ht="14.25" thickBot="1">
      <c r="A35" s="2"/>
      <c r="B35" s="10"/>
      <c r="C35" s="10"/>
      <c r="D35" s="10"/>
      <c r="E35" s="10"/>
      <c r="F35" s="10"/>
      <c r="G35" s="10" t="s">
        <v>5</v>
      </c>
      <c r="H35" s="10"/>
      <c r="J35" s="18"/>
      <c r="K35" s="10"/>
      <c r="L35" s="12" t="s">
        <v>47</v>
      </c>
      <c r="M35" s="93" t="e">
        <f>1/(MAX(G34:M34)/(D2*1000))</f>
        <v>#DIV/0!</v>
      </c>
      <c r="N35" s="10"/>
      <c r="O35" s="10"/>
      <c r="P35" s="18"/>
    </row>
    <row r="36" spans="1:16" ht="15" thickBot="1">
      <c r="A36" s="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 t="s">
        <v>45</v>
      </c>
      <c r="N36" s="10"/>
      <c r="O36" s="10"/>
      <c r="P36" s="18"/>
    </row>
    <row r="37" spans="1:16" ht="15" thickBot="1">
      <c r="A37" s="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70" t="e">
        <f>MAX(ABS(G32),ABS(H32),ABS(I32),ABS(J32),ABS(K32)*ABS(L32),ABS(M32))</f>
        <v>#DIV/0!</v>
      </c>
      <c r="N37" s="10"/>
      <c r="O37" s="10"/>
      <c r="P37" s="18"/>
    </row>
    <row r="38" spans="1:16" ht="15" thickBot="1">
      <c r="A38" s="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70" t="e">
        <f>MAX(ABS(G33),ABS(H33),ABS(I33),ABS(J33),ABS(K33),ABS(L33),ABS(M33))</f>
        <v>#DIV/0!</v>
      </c>
      <c r="N38" s="10"/>
      <c r="O38" s="10"/>
      <c r="P38" s="18"/>
    </row>
    <row r="39" spans="1:16" ht="14.25">
      <c r="A39" s="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8"/>
    </row>
    <row r="40" spans="1:16" ht="14.25">
      <c r="A40" s="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8"/>
    </row>
    <row r="41" spans="1:16" ht="14.25">
      <c r="A41" s="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8"/>
    </row>
    <row r="42" spans="1:16" ht="14.25">
      <c r="A42" s="2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8"/>
    </row>
    <row r="43" spans="1:16" ht="13.5">
      <c r="A43" s="2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8"/>
    </row>
    <row r="44" spans="1:16" ht="13.5">
      <c r="A44" s="1"/>
      <c r="B44" s="10"/>
      <c r="C44" s="10"/>
      <c r="D44" s="10"/>
      <c r="E44" s="10"/>
      <c r="F44" s="10"/>
      <c r="G44" s="10"/>
      <c r="H44" s="10"/>
      <c r="I44" s="66"/>
      <c r="J44" s="66"/>
      <c r="K44" s="66"/>
      <c r="L44" s="10"/>
      <c r="M44" s="10"/>
      <c r="N44" s="10"/>
      <c r="O44" s="10"/>
      <c r="P44" s="18"/>
    </row>
    <row r="45" spans="1:16" ht="13.5">
      <c r="A45" s="1"/>
      <c r="B45" s="10"/>
      <c r="C45" s="10"/>
      <c r="D45" s="10"/>
      <c r="E45" s="10"/>
      <c r="F45" s="10"/>
      <c r="G45" s="10"/>
      <c r="H45" s="10"/>
      <c r="I45" s="66"/>
      <c r="J45" s="67"/>
      <c r="K45" s="66"/>
      <c r="L45" s="10"/>
      <c r="M45" s="10"/>
      <c r="N45" s="10"/>
      <c r="O45" s="10"/>
      <c r="P45" s="18"/>
    </row>
    <row r="46" spans="1:16" ht="13.5">
      <c r="A46" s="1"/>
      <c r="B46" s="10"/>
      <c r="C46" s="10"/>
      <c r="D46" s="10"/>
      <c r="E46" s="10"/>
      <c r="F46" s="10"/>
      <c r="G46" s="10"/>
      <c r="H46" s="10"/>
      <c r="I46" s="66"/>
      <c r="J46" s="66"/>
      <c r="K46" s="66"/>
      <c r="L46" s="10"/>
      <c r="M46" s="10"/>
      <c r="N46" s="10"/>
      <c r="O46" s="10"/>
      <c r="P46" s="18"/>
    </row>
    <row r="47" spans="1:16" ht="13.5">
      <c r="A47" s="1"/>
      <c r="B47" s="10"/>
      <c r="C47" s="10"/>
      <c r="D47" s="10"/>
      <c r="E47" s="10"/>
      <c r="F47" s="10"/>
      <c r="G47" s="10"/>
      <c r="H47" s="10"/>
      <c r="I47" s="66"/>
      <c r="J47" s="66"/>
      <c r="K47" s="66"/>
      <c r="L47" s="10"/>
      <c r="M47" s="10"/>
      <c r="N47" s="10"/>
      <c r="O47" s="10"/>
      <c r="P47" s="18"/>
    </row>
    <row r="48" spans="1:16" ht="13.5">
      <c r="A48" s="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"/>
    </row>
    <row r="49" spans="1:16" ht="13.5">
      <c r="A49" s="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8"/>
    </row>
    <row r="50" spans="1:16" ht="13.5">
      <c r="A50" s="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8"/>
    </row>
    <row r="51" spans="1:16" ht="13.5">
      <c r="A51" s="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8"/>
    </row>
    <row r="52" spans="1:16" ht="13.5">
      <c r="A52" s="1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8"/>
    </row>
    <row r="53" spans="1:16" ht="13.5">
      <c r="A53" s="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8"/>
    </row>
    <row r="54" spans="1:16" ht="13.5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8"/>
    </row>
    <row r="55" spans="1:16" ht="13.5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8"/>
    </row>
    <row r="56" spans="2:16" ht="13.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0"/>
      <c r="O56" s="18"/>
      <c r="P56" s="18"/>
    </row>
    <row r="57" spans="2:16" ht="13.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0"/>
      <c r="O57" s="18"/>
      <c r="P57" s="18"/>
    </row>
    <row r="58" spans="2:16" ht="13.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0"/>
      <c r="O58" s="18"/>
      <c r="P58" s="18"/>
    </row>
    <row r="59" spans="2:16" ht="13.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0"/>
      <c r="O59" s="18"/>
      <c r="P59" s="18"/>
    </row>
    <row r="60" spans="2:16" ht="13.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0"/>
      <c r="O60" s="18"/>
      <c r="P60" s="18"/>
    </row>
    <row r="61" spans="2:16" ht="13.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0"/>
      <c r="O61" s="18"/>
      <c r="P61" s="18"/>
    </row>
    <row r="62" spans="2:16" ht="13.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0"/>
      <c r="O62" s="18"/>
      <c r="P62" s="18"/>
    </row>
    <row r="63" spans="2:16" ht="13.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0"/>
      <c r="O63" s="18"/>
      <c r="P63" s="18"/>
    </row>
    <row r="64" spans="2:16" ht="13.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0"/>
      <c r="O64" s="18"/>
      <c r="P64" s="18"/>
    </row>
    <row r="65" spans="2:16" ht="13.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2:16" ht="13.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2:16" ht="13.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2:16" ht="13.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2:16" ht="13.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2:16" ht="13.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2:16" ht="13.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2:16" ht="13.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2:16" ht="13.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2:16" ht="13.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2:16" ht="13.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2:16" ht="13.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2:16" ht="13.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2:16" ht="13.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2:16" ht="13.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2:16" ht="13.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2:16" ht="13.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2:16" ht="13.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2:16" ht="13.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2:16" ht="13.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2:16" ht="13.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2:16" ht="13.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2:16" ht="13.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2:16" ht="13.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2:16" ht="13.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2:16" ht="13.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2:16" ht="13.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2:16" ht="13.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2:16" ht="13.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2:16" ht="13.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2:16" ht="13.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2:16" ht="13.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2:16" ht="13.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2:16" ht="13.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2:16" ht="13.5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2:16" ht="13.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2:16" ht="13.5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2:16" ht="13.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2:16" ht="13.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2:16" ht="13.5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2:16" ht="13.5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2:16" ht="13.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2:16" ht="13.5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ht="13.5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3.5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2:16" ht="13.5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16" ht="13.5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2:16" ht="13.5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2:16" ht="13.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2:16" ht="13.5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2:16" ht="13.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2:16" ht="13.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2:16" ht="13.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2:16" ht="13.5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2:16" ht="13.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2:16" ht="13.5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2:16" ht="13.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2:16" ht="13.5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2:16" ht="13.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2:16" ht="13.5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2:16" ht="13.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2:16" ht="13.5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2:16" ht="13.5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2:16" ht="13.5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2:16" ht="13.5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2:16" ht="13.5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2:16" ht="13.5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2:16" ht="13.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2:16" ht="13.5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2:16" ht="13.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2:16" ht="13.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2:16" ht="13.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2:16" ht="13.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2:16" ht="13.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2:16" ht="13.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2:16" ht="13.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2:16" ht="13.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2:16" ht="13.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2:16" ht="13.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2:16" ht="13.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2:16" ht="13.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2:16" ht="13.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2:16" ht="13.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2:16" ht="13.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2:16" ht="13.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2:16" ht="13.5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2:16" ht="13.5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2:16" ht="13.5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2:16" ht="13.5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2:16" ht="13.5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2:16" ht="13.5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2:16" ht="13.5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2:16" ht="13.5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2:16" ht="13.5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2:16" ht="13.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2:16" ht="13.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2:16" ht="13.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2:16" ht="13.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2:16" ht="13.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2:16" ht="13.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2:16" ht="13.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2:16" ht="13.5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2:16" ht="13.5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2:16" ht="13.5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2:16" ht="13.5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2:16" ht="13.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2:16" ht="13.5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2:16" ht="13.5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2:16" ht="13.5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2:16" ht="13.5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2:16" ht="13.5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spans="2:16" ht="13.5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2:16" ht="13.5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2:16" ht="13.5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2:16" ht="13.5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2:16" ht="13.5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2:16" ht="13.5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2:16" ht="13.5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2:16" ht="13.5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spans="2:16" ht="13.5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2:16" ht="13.5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spans="2:16" ht="13.5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 spans="2:16" ht="13.5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spans="2:16" ht="13.5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 spans="2:16" ht="13.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 spans="2:16" ht="13.5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 spans="2:16" ht="13.5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</row>
    <row r="192" spans="2:16" ht="13.5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</row>
    <row r="193" spans="2:16" ht="13.5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</row>
    <row r="194" spans="2:16" ht="13.5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</row>
    <row r="195" spans="2:16" ht="13.5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</row>
    <row r="196" spans="2:16" ht="13.5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</row>
    <row r="197" spans="2:16" ht="13.5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</row>
    <row r="198" spans="2:16" ht="13.5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</row>
    <row r="199" spans="2:16" ht="13.5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</row>
    <row r="200" spans="2:16" ht="13.5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spans="2:16" ht="13.5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</row>
    <row r="202" spans="2:16" ht="13.5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</row>
    <row r="203" spans="2:16" ht="13.5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</row>
    <row r="204" spans="2:16" ht="13.5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</row>
    <row r="205" spans="2:16" ht="13.5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</row>
    <row r="206" spans="2:16" ht="13.5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</row>
    <row r="207" spans="2:16" ht="13.5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</row>
    <row r="208" spans="2:16" ht="13.5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</row>
    <row r="209" spans="2:16" ht="13.5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spans="2:16" ht="13.5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 spans="2:16" ht="13.5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</row>
    <row r="212" spans="2:16" ht="13.5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</row>
    <row r="213" spans="2:16" ht="13.5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</row>
    <row r="214" spans="2:16" ht="13.5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</row>
    <row r="215" spans="2:16" ht="13.5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</row>
    <row r="216" spans="2:16" ht="13.5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</row>
    <row r="217" spans="2:16" ht="13.5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</row>
    <row r="218" spans="2:16" ht="13.5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</row>
    <row r="219" spans="2:16" ht="13.5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</row>
  </sheetData>
  <mergeCells count="1">
    <mergeCell ref="J2:K2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18"/>
  <sheetViews>
    <sheetView workbookViewId="0" topLeftCell="A1">
      <selection activeCell="B5" sqref="B5:I5"/>
    </sheetView>
  </sheetViews>
  <sheetFormatPr defaultColWidth="8.796875" defaultRowHeight="14.25"/>
  <cols>
    <col min="8" max="8" width="9.3984375" style="0" customWidth="1"/>
    <col min="9" max="9" width="8.19921875" style="0" customWidth="1"/>
    <col min="12" max="12" width="12.69921875" style="0" bestFit="1" customWidth="1"/>
    <col min="14" max="14" width="10.5" style="0" customWidth="1"/>
    <col min="15" max="15" width="13.19921875" style="0" customWidth="1"/>
  </cols>
  <sheetData>
    <row r="1" spans="1:28" ht="15" thickBot="1">
      <c r="A1" s="94" t="s">
        <v>48</v>
      </c>
      <c r="B1" s="94"/>
      <c r="C1" s="94" t="s">
        <v>49</v>
      </c>
      <c r="D1" s="94" t="s">
        <v>50</v>
      </c>
      <c r="E1" s="95" t="s">
        <v>51</v>
      </c>
      <c r="F1" s="96"/>
      <c r="G1" s="94"/>
      <c r="H1" s="94"/>
      <c r="I1" s="94"/>
      <c r="J1" s="10"/>
      <c r="K1" s="10" t="s">
        <v>52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31" ht="14.25">
      <c r="A3" s="97" t="s">
        <v>53</v>
      </c>
      <c r="B3" s="98" t="s">
        <v>54</v>
      </c>
      <c r="C3" s="99" t="s">
        <v>55</v>
      </c>
      <c r="D3" s="100"/>
      <c r="E3" s="101" t="s">
        <v>56</v>
      </c>
      <c r="F3" s="101" t="s">
        <v>57</v>
      </c>
      <c r="G3" s="101" t="s">
        <v>58</v>
      </c>
      <c r="H3" s="101" t="s">
        <v>59</v>
      </c>
      <c r="I3" s="102" t="s">
        <v>60</v>
      </c>
      <c r="J3" s="103" t="s">
        <v>61</v>
      </c>
      <c r="K3" s="103" t="s">
        <v>62</v>
      </c>
      <c r="L3" s="103" t="s">
        <v>63</v>
      </c>
      <c r="M3" s="103"/>
      <c r="N3" s="103" t="s">
        <v>64</v>
      </c>
      <c r="O3" s="103"/>
      <c r="P3" s="103" t="s">
        <v>65</v>
      </c>
      <c r="Q3" s="103"/>
      <c r="R3" s="103" t="s">
        <v>66</v>
      </c>
      <c r="S3" s="103" t="s">
        <v>67</v>
      </c>
      <c r="T3" s="10"/>
      <c r="U3" s="10"/>
      <c r="V3" s="10"/>
      <c r="W3" s="10"/>
      <c r="X3" s="10"/>
      <c r="Y3" s="10"/>
      <c r="Z3" s="10"/>
      <c r="AA3" s="10"/>
      <c r="AB3" s="10"/>
      <c r="AC3" s="2"/>
      <c r="AD3" s="2"/>
      <c r="AE3" s="2"/>
    </row>
    <row r="4" spans="1:31" ht="14.25">
      <c r="A4" s="104"/>
      <c r="B4" s="105" t="s">
        <v>68</v>
      </c>
      <c r="C4" s="106">
        <v>235</v>
      </c>
      <c r="D4" s="107" t="s">
        <v>69</v>
      </c>
      <c r="E4" s="108" t="s">
        <v>70</v>
      </c>
      <c r="F4" s="108" t="s">
        <v>70</v>
      </c>
      <c r="G4" s="108" t="s">
        <v>70</v>
      </c>
      <c r="H4" s="108" t="s">
        <v>70</v>
      </c>
      <c r="I4" s="109" t="s">
        <v>70</v>
      </c>
      <c r="J4" s="110" t="s">
        <v>71</v>
      </c>
      <c r="K4" s="110" t="s">
        <v>72</v>
      </c>
      <c r="L4" s="110" t="s">
        <v>73</v>
      </c>
      <c r="M4" s="110" t="s">
        <v>73</v>
      </c>
      <c r="N4" s="110" t="s">
        <v>74</v>
      </c>
      <c r="O4" s="110" t="s">
        <v>74</v>
      </c>
      <c r="P4" s="110" t="s">
        <v>75</v>
      </c>
      <c r="Q4" s="110" t="s">
        <v>75</v>
      </c>
      <c r="R4" s="110"/>
      <c r="S4" s="110"/>
      <c r="T4" s="10"/>
      <c r="U4" s="10"/>
      <c r="V4" s="10"/>
      <c r="W4" s="10"/>
      <c r="X4" s="10"/>
      <c r="Y4" s="10"/>
      <c r="Z4" s="10"/>
      <c r="AA4" s="10"/>
      <c r="AB4" s="10"/>
      <c r="AC4" s="2"/>
      <c r="AD4" s="2"/>
      <c r="AE4" s="2"/>
    </row>
    <row r="5" spans="1:31" ht="14.25">
      <c r="A5" s="111"/>
      <c r="B5" s="112"/>
      <c r="C5" s="189"/>
      <c r="D5" s="190"/>
      <c r="E5" s="191"/>
      <c r="F5" s="191"/>
      <c r="G5" s="191"/>
      <c r="H5" s="191"/>
      <c r="I5" s="192"/>
      <c r="J5" s="113">
        <f>(F5*H5*2+(E5-H5*2)*G5+(4-PI())*I5^2)/100</f>
        <v>0</v>
      </c>
      <c r="K5" s="114">
        <f>J5*7.85*100/1000</f>
        <v>0</v>
      </c>
      <c r="L5" s="115">
        <f>(F5*E5^3/12-(F5-G5)*(E5-2*H5)^3/12+(0.008077*I5^4+0.2146*I5^2*((E5-2*H5)/2-0.17365*I5)^2)*4)/10000</f>
        <v>0</v>
      </c>
      <c r="M5" s="115">
        <f>(H5*F5^3/12*2+(E5-2*H5)*G5^3/12+(0.008077*I5^4+0.2146*I5^2*(G5/2+0.17365*I5)^2)*4)/10000</f>
        <v>0</v>
      </c>
      <c r="N5" s="113" t="e">
        <f>SQRT(L5/J5)</f>
        <v>#DIV/0!</v>
      </c>
      <c r="O5" s="113" t="e">
        <f>SQRT(M5/J5)</f>
        <v>#DIV/0!</v>
      </c>
      <c r="P5" s="115" t="e">
        <f>L5/(E5/20)</f>
        <v>#DIV/0!</v>
      </c>
      <c r="Q5" s="115" t="e">
        <f>M5/(F5/20)</f>
        <v>#DIV/0!</v>
      </c>
      <c r="R5" s="113" t="e">
        <f>SQRT((H5*F5^3/12+(E5/6-H5)*G5^3/12+(0.008077*I5^4+0.2146*I5^2*(G5/2+0.1736*I5)^2)*2)/(F5*H5+(E5/6-H5)*G5+(0.2146*I5^2)*2))/10</f>
        <v>#DIV/0!</v>
      </c>
      <c r="S5" s="113" t="e">
        <f>R5*E5/10/(F5*H5/100)</f>
        <v>#DIV/0!</v>
      </c>
      <c r="T5" s="10"/>
      <c r="U5" s="10"/>
      <c r="V5" s="10"/>
      <c r="W5" s="10"/>
      <c r="X5" s="10"/>
      <c r="Y5" s="10"/>
      <c r="Z5" s="10"/>
      <c r="AA5" s="10"/>
      <c r="AB5" s="10"/>
      <c r="AC5" s="2"/>
      <c r="AD5" s="2"/>
      <c r="AE5" s="2"/>
    </row>
    <row r="6" spans="1:31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2"/>
      <c r="AD6" s="2"/>
      <c r="AE6" s="2"/>
    </row>
    <row r="7" spans="1:31" ht="14.25">
      <c r="A7" s="10" t="s">
        <v>76</v>
      </c>
      <c r="B7" s="151">
        <f>'多荷重固定端長期'!D2*100</f>
        <v>0</v>
      </c>
      <c r="C7" s="10" t="s">
        <v>77</v>
      </c>
      <c r="D7" s="10" t="s">
        <v>78</v>
      </c>
      <c r="E7" s="116">
        <v>1</v>
      </c>
      <c r="F7" s="10" t="s">
        <v>79</v>
      </c>
      <c r="G7" s="10"/>
      <c r="H7" s="117">
        <f>N13</f>
        <v>180</v>
      </c>
      <c r="I7" s="10" t="s">
        <v>80</v>
      </c>
      <c r="J7" s="10"/>
      <c r="K7" s="10"/>
      <c r="L7" s="97" t="s">
        <v>81</v>
      </c>
      <c r="M7" s="97" t="s">
        <v>82</v>
      </c>
      <c r="N7" s="97" t="s">
        <v>83</v>
      </c>
      <c r="O7" s="97" t="s">
        <v>84</v>
      </c>
      <c r="P7" s="97" t="s">
        <v>85</v>
      </c>
      <c r="Q7" s="98" t="s">
        <v>86</v>
      </c>
      <c r="R7" s="100"/>
      <c r="S7" s="97" t="s">
        <v>87</v>
      </c>
      <c r="T7" s="10"/>
      <c r="U7" s="10"/>
      <c r="V7" s="10"/>
      <c r="W7" s="10"/>
      <c r="X7" s="10"/>
      <c r="Y7" s="10"/>
      <c r="Z7" s="10"/>
      <c r="AA7" s="10"/>
      <c r="AB7" s="10"/>
      <c r="AC7" s="2"/>
      <c r="AD7" s="2"/>
      <c r="AE7" s="2"/>
    </row>
    <row r="8" spans="1:31" ht="14.25">
      <c r="A8" s="10" t="s">
        <v>88</v>
      </c>
      <c r="B8" s="118"/>
      <c r="C8" s="10" t="s">
        <v>89</v>
      </c>
      <c r="D8" s="10" t="s">
        <v>90</v>
      </c>
      <c r="E8" s="182" t="e">
        <f>'多荷重固定端長期'!$M$37*100000</f>
        <v>#DIV/0!</v>
      </c>
      <c r="F8" s="10" t="s">
        <v>91</v>
      </c>
      <c r="G8" s="10" t="s">
        <v>92</v>
      </c>
      <c r="H8" s="182" t="e">
        <f>'多荷重固定端長期'!$M$38*1000</f>
        <v>#DIV/0!</v>
      </c>
      <c r="I8" s="10" t="s">
        <v>93</v>
      </c>
      <c r="J8" s="10"/>
      <c r="K8" s="10"/>
      <c r="L8" s="104" t="s">
        <v>94</v>
      </c>
      <c r="M8" s="104" t="s">
        <v>95</v>
      </c>
      <c r="N8" s="119" t="s">
        <v>96</v>
      </c>
      <c r="O8" s="119" t="s">
        <v>96</v>
      </c>
      <c r="P8" s="104"/>
      <c r="Q8" s="105" t="s">
        <v>97</v>
      </c>
      <c r="R8" s="107"/>
      <c r="S8" s="110" t="s">
        <v>98</v>
      </c>
      <c r="T8" s="10"/>
      <c r="U8" s="10"/>
      <c r="V8" s="10"/>
      <c r="W8" s="10"/>
      <c r="X8" s="10"/>
      <c r="Y8" s="10"/>
      <c r="Z8" s="10"/>
      <c r="AA8" s="10"/>
      <c r="AB8" s="10"/>
      <c r="AC8" s="2"/>
      <c r="AD8" s="2"/>
      <c r="AE8" s="2"/>
    </row>
    <row r="9" spans="1:31" ht="14.25">
      <c r="A9" s="68"/>
      <c r="B9" s="120"/>
      <c r="C9" s="68" t="s">
        <v>99</v>
      </c>
      <c r="D9" s="10" t="s">
        <v>90</v>
      </c>
      <c r="E9" s="118"/>
      <c r="F9" s="10" t="s">
        <v>91</v>
      </c>
      <c r="G9" s="68"/>
      <c r="H9" s="120"/>
      <c r="I9" s="68"/>
      <c r="J9" s="10"/>
      <c r="K9" s="10"/>
      <c r="L9" s="115">
        <f>(E5-H5)^2*M5/4/100</f>
        <v>0</v>
      </c>
      <c r="M9" s="121">
        <f>(2*F5*H5^3+(E5-H5)*G5^3)/3/10000</f>
        <v>0</v>
      </c>
      <c r="N9" s="122" t="e">
        <f>P5*C4*1000/10</f>
        <v>#DIV/0!</v>
      </c>
      <c r="O9" s="122" t="e">
        <f>N18*SQRT((PI()^4*205000*M5*10000*205000*L9*1000000/(N13*10)^4)+(PI()^2*205000*M5*10000*79000*M9*10000)/(N13*10)^2)/10</f>
        <v>#DIV/0!</v>
      </c>
      <c r="P9" s="113" t="e">
        <f>SQRT(N9/O9)</f>
        <v>#DIV/0!</v>
      </c>
      <c r="Q9" s="123">
        <f>1/SQRT(0.6)</f>
        <v>1.2909944487358056</v>
      </c>
      <c r="R9" s="124"/>
      <c r="S9" s="125">
        <f>(E5-2*(H5+I5))*G5</f>
        <v>0</v>
      </c>
      <c r="T9" s="10"/>
      <c r="U9" s="10"/>
      <c r="V9" s="10"/>
      <c r="W9" s="10"/>
      <c r="X9" s="10"/>
      <c r="Y9" s="10"/>
      <c r="Z9" s="10"/>
      <c r="AA9" s="10"/>
      <c r="AB9" s="10"/>
      <c r="AC9" s="2"/>
      <c r="AD9" s="2"/>
      <c r="AE9" s="2"/>
    </row>
    <row r="10" spans="1:31" ht="14.25">
      <c r="A10" s="68" t="s">
        <v>100</v>
      </c>
      <c r="B10" s="120"/>
      <c r="C10" s="10"/>
      <c r="D10" s="68"/>
      <c r="E10" s="120"/>
      <c r="F10" s="68"/>
      <c r="G10" s="68"/>
      <c r="H10" s="126"/>
      <c r="I10" s="68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"/>
      <c r="AD10" s="2"/>
      <c r="AE10" s="2"/>
    </row>
    <row r="11" spans="1:31" ht="14.25">
      <c r="A11" s="68"/>
      <c r="B11" s="68"/>
      <c r="C11" s="127" t="s">
        <v>101</v>
      </c>
      <c r="D11" s="68"/>
      <c r="E11" s="68"/>
      <c r="F11" s="68"/>
      <c r="G11" s="68"/>
      <c r="H11" s="128" t="e">
        <f>IF(P9&lt;=N19,C4/N20,"該当しない")</f>
        <v>#DIV/0!</v>
      </c>
      <c r="I11" s="68" t="s">
        <v>102</v>
      </c>
      <c r="J11" s="10"/>
      <c r="K11" s="10"/>
      <c r="L11" s="129"/>
      <c r="M11" s="10"/>
      <c r="N11" s="10"/>
      <c r="O11" s="10"/>
      <c r="P11" s="10" t="s">
        <v>103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2"/>
      <c r="AD11" s="2"/>
      <c r="AE11" s="2"/>
    </row>
    <row r="12" spans="1:31" ht="14.25">
      <c r="A12" s="68" t="s">
        <v>104</v>
      </c>
      <c r="B12" s="68"/>
      <c r="C12" s="68"/>
      <c r="D12" s="68"/>
      <c r="E12" s="120"/>
      <c r="F12" s="68"/>
      <c r="G12" s="68"/>
      <c r="H12" s="126"/>
      <c r="I12" s="68"/>
      <c r="J12" s="10"/>
      <c r="K12" s="10"/>
      <c r="L12" s="10"/>
      <c r="M12" s="10"/>
      <c r="N12" s="10"/>
      <c r="O12" s="10"/>
      <c r="P12" s="10"/>
      <c r="Q12" s="10"/>
      <c r="R12" s="10"/>
      <c r="S12" s="10" t="s">
        <v>105</v>
      </c>
      <c r="T12" s="10"/>
      <c r="U12" s="10"/>
      <c r="V12" s="10"/>
      <c r="W12" s="10"/>
      <c r="X12" s="10"/>
      <c r="Y12" s="10"/>
      <c r="Z12" s="10"/>
      <c r="AA12" s="10"/>
      <c r="AB12" s="10"/>
      <c r="AC12" s="2"/>
      <c r="AD12" s="2"/>
      <c r="AE12" s="2"/>
    </row>
    <row r="13" spans="1:31" ht="14.25">
      <c r="A13" s="68"/>
      <c r="B13" s="68"/>
      <c r="C13" s="68" t="s">
        <v>106</v>
      </c>
      <c r="D13" s="68"/>
      <c r="E13" s="68"/>
      <c r="F13" s="68"/>
      <c r="G13" s="68"/>
      <c r="H13" s="128" t="e">
        <f>IF(P9&gt;N19,IF(P9&lt;=Q9,(1-0.4*(P9-N19)/(Q9-N19))*C4/N20,"該当しない"),"該当しない")</f>
        <v>#DIV/0!</v>
      </c>
      <c r="I13" s="68" t="s">
        <v>107</v>
      </c>
      <c r="J13" s="10"/>
      <c r="K13" s="10" t="s">
        <v>108</v>
      </c>
      <c r="L13" s="10"/>
      <c r="M13" s="10"/>
      <c r="N13" s="118">
        <v>180</v>
      </c>
      <c r="O13" s="10" t="s">
        <v>109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2"/>
      <c r="AD13" s="2"/>
      <c r="AE13" s="2"/>
    </row>
    <row r="14" spans="1:31" ht="14.25">
      <c r="A14" s="130" t="s">
        <v>110</v>
      </c>
      <c r="B14" s="69"/>
      <c r="C14" s="68"/>
      <c r="D14" s="127"/>
      <c r="E14" s="131"/>
      <c r="F14" s="68"/>
      <c r="G14" s="127"/>
      <c r="H14" s="126"/>
      <c r="I14" s="68"/>
      <c r="J14" s="10"/>
      <c r="K14" s="10" t="s">
        <v>111</v>
      </c>
      <c r="L14" s="10"/>
      <c r="M14" s="10"/>
      <c r="N14" s="133" t="e">
        <f>MAX(ABS('多荷重固定端長期'!G32),ABS('多荷重固定端長期'!M32))*100000</f>
        <v>#DIV/0!</v>
      </c>
      <c r="O14" s="10" t="s">
        <v>112</v>
      </c>
      <c r="P14" s="10"/>
      <c r="Q14" s="10"/>
      <c r="R14" s="10"/>
      <c r="S14" s="132">
        <v>1</v>
      </c>
      <c r="T14" s="10"/>
      <c r="U14" s="10"/>
      <c r="V14" s="10"/>
      <c r="W14" s="10"/>
      <c r="X14" s="10"/>
      <c r="Y14" s="10"/>
      <c r="Z14" s="10"/>
      <c r="AA14" s="10"/>
      <c r="AB14" s="10"/>
      <c r="AC14" s="2"/>
      <c r="AD14" s="2"/>
      <c r="AE14" s="2"/>
    </row>
    <row r="15" spans="1:31" ht="14.25">
      <c r="A15" s="127"/>
      <c r="B15" s="69"/>
      <c r="C15" s="68" t="s">
        <v>113</v>
      </c>
      <c r="D15" s="127"/>
      <c r="E15" s="131"/>
      <c r="F15" s="68"/>
      <c r="G15" s="68"/>
      <c r="H15" s="133" t="e">
        <f>IF(P9&gt;Q9,1/(P9)^2*C4/2.17,"該当しない")</f>
        <v>#DIV/0!</v>
      </c>
      <c r="I15" s="68" t="s">
        <v>114</v>
      </c>
      <c r="J15" s="10"/>
      <c r="K15" s="10" t="s">
        <v>115</v>
      </c>
      <c r="L15" s="10"/>
      <c r="M15" s="10"/>
      <c r="N15" s="133" t="e">
        <f>MIN(ABS('多荷重固定端長期'!G32),ABS('多荷重固定端長期'!M32))*100000</f>
        <v>#DIV/0!</v>
      </c>
      <c r="O15" s="10" t="s">
        <v>112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2"/>
      <c r="AD15" s="2"/>
      <c r="AE15" s="2"/>
    </row>
    <row r="16" spans="1:31" ht="14.25">
      <c r="A16" s="68"/>
      <c r="B16" s="68"/>
      <c r="C16" s="68"/>
      <c r="D16" s="68"/>
      <c r="E16" s="68"/>
      <c r="F16" s="68"/>
      <c r="G16" s="68"/>
      <c r="H16" s="68"/>
      <c r="I16" s="68"/>
      <c r="J16" s="10"/>
      <c r="K16" s="10" t="s">
        <v>116</v>
      </c>
      <c r="L16" s="10"/>
      <c r="M16" s="10"/>
      <c r="N16" s="118">
        <v>3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2"/>
      <c r="AD16" s="2"/>
      <c r="AE16" s="2"/>
    </row>
    <row r="17" spans="1:31" ht="14.25">
      <c r="A17" s="134" t="s">
        <v>117</v>
      </c>
      <c r="B17" s="134"/>
      <c r="C17" s="10"/>
      <c r="D17" s="10" t="s">
        <v>118</v>
      </c>
      <c r="E17" s="10"/>
      <c r="F17" s="10"/>
      <c r="G17" s="10" t="s">
        <v>119</v>
      </c>
      <c r="H17" s="10"/>
      <c r="I17" s="10"/>
      <c r="J17" s="10"/>
      <c r="K17" s="10" t="s">
        <v>120</v>
      </c>
      <c r="L17" s="10"/>
      <c r="M17" s="10"/>
      <c r="N17" s="135" t="e">
        <f>IF(N14=0,IF(N16=3,1,1),IF(N16=3,1,1.75+N16*ABS(N15/N14)*1.05+0.3*(N15/N14)^2))</f>
        <v>#DIV/0!</v>
      </c>
      <c r="O17" s="10"/>
      <c r="P17" s="10"/>
      <c r="Q17" s="10"/>
      <c r="R17" s="10"/>
      <c r="S17" s="132">
        <v>-1</v>
      </c>
      <c r="T17" s="10"/>
      <c r="U17" s="10"/>
      <c r="V17" s="10"/>
      <c r="W17" s="10"/>
      <c r="X17" s="10"/>
      <c r="Y17" s="10"/>
      <c r="Z17" s="10"/>
      <c r="AA17" s="10"/>
      <c r="AB17" s="10"/>
      <c r="AC17" s="2"/>
      <c r="AD17" s="2"/>
      <c r="AE17" s="2"/>
    </row>
    <row r="18" spans="1:31" ht="14.25">
      <c r="A18" s="127" t="s">
        <v>121</v>
      </c>
      <c r="B18" s="136" t="e">
        <f>P28</f>
        <v>#DIV/0!</v>
      </c>
      <c r="C18" s="137" t="s">
        <v>122</v>
      </c>
      <c r="D18" s="138" t="s">
        <v>123</v>
      </c>
      <c r="E18" s="128" t="e">
        <f>MAX(H11:H15)</f>
        <v>#DIV/0!</v>
      </c>
      <c r="F18" s="137" t="s">
        <v>124</v>
      </c>
      <c r="G18" s="138" t="s">
        <v>125</v>
      </c>
      <c r="H18" s="128">
        <f>C4/1.5/SQRT(3)</f>
        <v>90.45154217304137</v>
      </c>
      <c r="I18" s="10" t="s">
        <v>124</v>
      </c>
      <c r="J18" s="10"/>
      <c r="K18" s="10" t="s">
        <v>126</v>
      </c>
      <c r="L18" s="10"/>
      <c r="M18" s="10"/>
      <c r="N18" s="135" t="e">
        <f>IF(N17&gt;=2.3,2.3,N17)</f>
        <v>#DIV/0!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2"/>
      <c r="AD18" s="2"/>
      <c r="AE18" s="2"/>
    </row>
    <row r="19" spans="1:31" ht="14.25">
      <c r="A19" s="134"/>
      <c r="B19" s="139"/>
      <c r="C19" s="137"/>
      <c r="D19" s="138" t="s">
        <v>127</v>
      </c>
      <c r="E19" s="128">
        <f>C4/1.5</f>
        <v>156.66666666666666</v>
      </c>
      <c r="F19" s="137" t="s">
        <v>128</v>
      </c>
      <c r="G19" s="137"/>
      <c r="H19" s="126"/>
      <c r="I19" s="10"/>
      <c r="J19" s="10"/>
      <c r="K19" s="68" t="s">
        <v>129</v>
      </c>
      <c r="L19" s="68"/>
      <c r="M19" s="68"/>
      <c r="N19" s="135" t="e">
        <f>IF(N14=0,IF(N16=3,0.3,0.3),IF(N16=3,0.3,0.6+0.3*ABS(N15/N14)*N16))</f>
        <v>#DIV/0!</v>
      </c>
      <c r="O19" s="68"/>
      <c r="P19" s="10" t="s">
        <v>130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2"/>
      <c r="AD19" s="2"/>
      <c r="AE19" s="2"/>
    </row>
    <row r="20" spans="1:31" ht="14.25">
      <c r="A20" s="134" t="s">
        <v>131</v>
      </c>
      <c r="B20" s="139"/>
      <c r="C20" s="139"/>
      <c r="D20" s="139"/>
      <c r="E20" s="139"/>
      <c r="F20" s="139"/>
      <c r="G20" s="139"/>
      <c r="H20" s="139"/>
      <c r="I20" s="134"/>
      <c r="J20" s="68"/>
      <c r="K20" s="68" t="s">
        <v>132</v>
      </c>
      <c r="L20" s="68"/>
      <c r="M20" s="68"/>
      <c r="N20" s="135" t="e">
        <f>IF(N13=0,1.5,3/2+2/3*(P9/Q9)^2)</f>
        <v>#DIV/0!</v>
      </c>
      <c r="O20" s="68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2"/>
      <c r="AD20" s="2"/>
      <c r="AE20" s="2"/>
    </row>
    <row r="21" spans="1:31" ht="14.25">
      <c r="A21" s="127" t="s">
        <v>133</v>
      </c>
      <c r="B21" s="136" t="e">
        <f>B8/(J5*100)</f>
        <v>#DIV/0!</v>
      </c>
      <c r="C21" s="137" t="s">
        <v>134</v>
      </c>
      <c r="D21" s="139" t="s">
        <v>135</v>
      </c>
      <c r="E21" s="136" t="e">
        <f>E8/P5/100</f>
        <v>#DIV/0!</v>
      </c>
      <c r="F21" s="137" t="s">
        <v>136</v>
      </c>
      <c r="G21" s="140" t="s">
        <v>137</v>
      </c>
      <c r="H21" s="136" t="e">
        <f>H8/S9</f>
        <v>#DIV/0!</v>
      </c>
      <c r="I21" s="68" t="s">
        <v>136</v>
      </c>
      <c r="J21" s="68"/>
      <c r="K21" s="68"/>
      <c r="L21" s="68"/>
      <c r="M21" s="68"/>
      <c r="N21" s="68"/>
      <c r="O21" s="68"/>
      <c r="P21" s="10"/>
      <c r="Q21" s="10"/>
      <c r="R21" s="10"/>
      <c r="S21" s="132">
        <v>3</v>
      </c>
      <c r="T21" s="10"/>
      <c r="U21" s="10"/>
      <c r="V21" s="10"/>
      <c r="W21" s="10"/>
      <c r="X21" s="10"/>
      <c r="Y21" s="10"/>
      <c r="Z21" s="10"/>
      <c r="AA21" s="10"/>
      <c r="AB21" s="10"/>
      <c r="AC21" s="2"/>
      <c r="AD21" s="2"/>
      <c r="AE21" s="2"/>
    </row>
    <row r="22" spans="1:31" ht="14.25">
      <c r="A22" s="141"/>
      <c r="B22" s="142"/>
      <c r="C22" s="142"/>
      <c r="D22" s="142" t="s">
        <v>138</v>
      </c>
      <c r="E22" s="136" t="e">
        <f>E9/Q5/100</f>
        <v>#DIV/0!</v>
      </c>
      <c r="F22" s="137" t="s">
        <v>136</v>
      </c>
      <c r="G22" s="142"/>
      <c r="H22" s="142"/>
      <c r="I22" s="141"/>
      <c r="J22" s="68"/>
      <c r="K22" s="18" t="s">
        <v>139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0"/>
      <c r="W22" s="10"/>
      <c r="X22" s="10"/>
      <c r="Y22" s="10"/>
      <c r="Z22" s="10"/>
      <c r="AA22" s="10"/>
      <c r="AB22" s="10"/>
      <c r="AC22" s="2"/>
      <c r="AD22" s="2"/>
      <c r="AE22" s="2"/>
    </row>
    <row r="23" spans="1:31" ht="14.25">
      <c r="A23" s="141"/>
      <c r="B23" s="141"/>
      <c r="C23" s="141"/>
      <c r="D23" s="141"/>
      <c r="E23" s="141"/>
      <c r="F23" s="141"/>
      <c r="G23" s="141"/>
      <c r="H23" s="141"/>
      <c r="I23" s="141"/>
      <c r="J23" s="10"/>
      <c r="K23" s="18"/>
      <c r="L23" s="143" t="s">
        <v>140</v>
      </c>
      <c r="M23" s="144" t="e">
        <f>B7*E7/O5</f>
        <v>#DIV/0!</v>
      </c>
      <c r="N23" s="145" t="s">
        <v>141</v>
      </c>
      <c r="O23" s="145"/>
      <c r="P23" s="145"/>
      <c r="Q23" s="18" t="s">
        <v>142</v>
      </c>
      <c r="R23" s="10"/>
      <c r="S23" s="10"/>
      <c r="T23" s="10"/>
      <c r="U23" s="68"/>
      <c r="V23" s="10"/>
      <c r="W23" s="10"/>
      <c r="X23" s="10"/>
      <c r="Y23" s="10"/>
      <c r="Z23" s="10"/>
      <c r="AA23" s="10"/>
      <c r="AB23" s="10"/>
      <c r="AC23" s="2"/>
      <c r="AD23" s="2"/>
      <c r="AE23" s="2"/>
    </row>
    <row r="24" spans="1:31" ht="14.25">
      <c r="A24" s="141" t="s">
        <v>143</v>
      </c>
      <c r="B24" s="10" t="s">
        <v>144</v>
      </c>
      <c r="C24" s="10" t="s">
        <v>145</v>
      </c>
      <c r="D24" s="10"/>
      <c r="E24" s="10"/>
      <c r="F24" s="146" t="e">
        <f>E21/E18+E22/E19+B21/B18</f>
        <v>#DIV/0!</v>
      </c>
      <c r="G24" s="147" t="e">
        <f>IF(F24&lt;=1,"≦","＞")</f>
        <v>#DIV/0!</v>
      </c>
      <c r="H24" s="148">
        <v>1</v>
      </c>
      <c r="I24" s="145" t="e">
        <f>IF(F24&lt;=1,"OK","ＮＧ")</f>
        <v>#DIV/0!</v>
      </c>
      <c r="J24" s="68"/>
      <c r="K24" s="18"/>
      <c r="L24" s="68" t="s">
        <v>146</v>
      </c>
      <c r="M24" s="149"/>
      <c r="N24" s="145"/>
      <c r="O24" s="145"/>
      <c r="P24" s="145"/>
      <c r="Q24" s="145"/>
      <c r="R24" s="145"/>
      <c r="S24" s="145"/>
      <c r="T24" s="10"/>
      <c r="U24" s="150"/>
      <c r="V24" s="10"/>
      <c r="W24" s="10"/>
      <c r="X24" s="10"/>
      <c r="Y24" s="10"/>
      <c r="Z24" s="10"/>
      <c r="AA24" s="10"/>
      <c r="AB24" s="10"/>
      <c r="AC24" s="2"/>
      <c r="AD24" s="2"/>
      <c r="AE24" s="2"/>
    </row>
    <row r="25" spans="1:31" ht="14.25">
      <c r="A25" s="141"/>
      <c r="B25" s="10" t="s">
        <v>147</v>
      </c>
      <c r="C25" s="145" t="s">
        <v>148</v>
      </c>
      <c r="D25" s="10"/>
      <c r="E25" s="10"/>
      <c r="F25" s="146" t="e">
        <f>(E21+E22-B21)/(C4/1.5)</f>
        <v>#DIV/0!</v>
      </c>
      <c r="G25" s="147" t="e">
        <f>IF(F25&lt;=1,"≦","＞")</f>
        <v>#DIV/0!</v>
      </c>
      <c r="H25" s="148">
        <v>1</v>
      </c>
      <c r="I25" s="145" t="e">
        <f>IF(F25&lt;=1,"OK","ＮＧ")</f>
        <v>#DIV/0!</v>
      </c>
      <c r="J25" s="68"/>
      <c r="K25" s="18"/>
      <c r="L25" s="145" t="s">
        <v>149</v>
      </c>
      <c r="M25" s="145"/>
      <c r="N25" s="151">
        <f>SQRT(PI()^2*205000/0.6/C4)</f>
        <v>119.78908480518268</v>
      </c>
      <c r="O25" s="145"/>
      <c r="P25" s="145" t="s">
        <v>150</v>
      </c>
      <c r="Q25" s="145"/>
      <c r="R25" s="152" t="e">
        <f>1.5+2/3*(M23/N25)^2</f>
        <v>#DIV/0!</v>
      </c>
      <c r="S25" s="145"/>
      <c r="T25" s="10"/>
      <c r="U25" s="68"/>
      <c r="V25" s="10"/>
      <c r="W25" s="10"/>
      <c r="X25" s="10"/>
      <c r="Y25" s="10"/>
      <c r="Z25" s="10"/>
      <c r="AA25" s="10"/>
      <c r="AB25" s="10"/>
      <c r="AC25" s="2"/>
      <c r="AD25" s="2"/>
      <c r="AE25" s="2"/>
    </row>
    <row r="26" spans="1:31" ht="14.25">
      <c r="A26" s="141"/>
      <c r="B26" s="10" t="s">
        <v>151</v>
      </c>
      <c r="C26" s="10" t="s">
        <v>152</v>
      </c>
      <c r="D26" s="10"/>
      <c r="E26" s="10"/>
      <c r="F26" s="146" t="e">
        <f>H21/H18</f>
        <v>#DIV/0!</v>
      </c>
      <c r="G26" s="147" t="e">
        <f>IF(F26&lt;=1,"≦","＞")</f>
        <v>#DIV/0!</v>
      </c>
      <c r="H26" s="148">
        <v>1</v>
      </c>
      <c r="I26" s="145" t="e">
        <f>IF(F26&lt;=1,"OK","ＮＧ")</f>
        <v>#DIV/0!</v>
      </c>
      <c r="J26" s="68"/>
      <c r="K26" s="145" t="s">
        <v>153</v>
      </c>
      <c r="L26" s="10"/>
      <c r="M26" s="145"/>
      <c r="N26" s="145" t="s">
        <v>154</v>
      </c>
      <c r="O26" s="145"/>
      <c r="P26" s="145" t="s">
        <v>155</v>
      </c>
      <c r="Q26" s="145"/>
      <c r="R26" s="145"/>
      <c r="S26" s="145"/>
      <c r="T26" s="10"/>
      <c r="U26" s="10"/>
      <c r="V26" s="10"/>
      <c r="W26" s="10"/>
      <c r="X26" s="10"/>
      <c r="Y26" s="10"/>
      <c r="Z26" s="10"/>
      <c r="AA26" s="10"/>
      <c r="AB26" s="10"/>
      <c r="AC26" s="2"/>
      <c r="AD26" s="2"/>
      <c r="AE26" s="2"/>
    </row>
    <row r="27" spans="1:31" ht="14.25">
      <c r="A27" s="141"/>
      <c r="B27" s="141"/>
      <c r="C27" s="141"/>
      <c r="D27" s="141"/>
      <c r="E27" s="141"/>
      <c r="F27" s="141"/>
      <c r="G27" s="141"/>
      <c r="H27" s="141"/>
      <c r="I27" s="141"/>
      <c r="J27" s="68"/>
      <c r="K27" s="18"/>
      <c r="L27" s="145"/>
      <c r="M27" s="145"/>
      <c r="N27" s="145" t="s">
        <v>156</v>
      </c>
      <c r="O27" s="145"/>
      <c r="P27" s="145" t="s">
        <v>157</v>
      </c>
      <c r="Q27" s="145"/>
      <c r="R27" s="145"/>
      <c r="S27" s="145"/>
      <c r="T27" s="10"/>
      <c r="U27" s="10"/>
      <c r="V27" s="10"/>
      <c r="W27" s="10"/>
      <c r="X27" s="10"/>
      <c r="Y27" s="10"/>
      <c r="Z27" s="10"/>
      <c r="AA27" s="10"/>
      <c r="AB27" s="10"/>
      <c r="AC27" s="2"/>
      <c r="AD27" s="2"/>
      <c r="AE27" s="2"/>
    </row>
    <row r="28" spans="1:31" ht="14.25">
      <c r="A28" s="141"/>
      <c r="B28" s="141"/>
      <c r="C28" s="141"/>
      <c r="D28" s="141"/>
      <c r="E28" s="141"/>
      <c r="F28" s="141"/>
      <c r="G28" s="141"/>
      <c r="H28" s="141"/>
      <c r="I28" s="141"/>
      <c r="J28" s="68"/>
      <c r="K28" s="18"/>
      <c r="L28" s="145" t="s">
        <v>158</v>
      </c>
      <c r="M28" s="145" t="e">
        <f>IF(M23&lt;=N25,"λ≦Λ","λ＞Λ")</f>
        <v>#DIV/0!</v>
      </c>
      <c r="N28" s="145"/>
      <c r="O28" s="153" t="s">
        <v>159</v>
      </c>
      <c r="P28" s="154" t="e">
        <f>IF(M23&lt;=N25,(1-0.4*(M23/N25)^2)*C4/R25,0.277*C4/(M23/N25)^2)</f>
        <v>#DIV/0!</v>
      </c>
      <c r="Q28" s="145" t="s">
        <v>160</v>
      </c>
      <c r="R28" s="145"/>
      <c r="S28" s="145"/>
      <c r="T28" s="10"/>
      <c r="U28" s="10"/>
      <c r="V28" s="10"/>
      <c r="W28" s="10"/>
      <c r="X28" s="10"/>
      <c r="Y28" s="10"/>
      <c r="Z28" s="10"/>
      <c r="AA28" s="10"/>
      <c r="AB28" s="10"/>
      <c r="AC28" s="2"/>
      <c r="AD28" s="2"/>
      <c r="AE28" s="2"/>
    </row>
    <row r="29" spans="1:31" ht="15" thickBot="1">
      <c r="A29" s="94"/>
      <c r="B29" s="94"/>
      <c r="C29" s="94" t="s">
        <v>161</v>
      </c>
      <c r="D29" s="94" t="s">
        <v>162</v>
      </c>
      <c r="E29" s="155" t="str">
        <f>E1</f>
        <v>梁記号</v>
      </c>
      <c r="F29" s="156">
        <f>F1</f>
        <v>0</v>
      </c>
      <c r="G29" s="94"/>
      <c r="H29" s="94"/>
      <c r="I29" s="94"/>
      <c r="J29" s="68"/>
      <c r="K29" s="18"/>
      <c r="L29" s="145"/>
      <c r="M29" s="145"/>
      <c r="N29" s="145"/>
      <c r="O29" s="145"/>
      <c r="P29" s="157" t="e">
        <f>P28*100</f>
        <v>#DIV/0!</v>
      </c>
      <c r="Q29" s="145" t="s">
        <v>163</v>
      </c>
      <c r="R29" s="10"/>
      <c r="S29" s="145"/>
      <c r="T29" s="158" t="e">
        <f>P29/9.8/1000</f>
        <v>#DIV/0!</v>
      </c>
      <c r="U29" s="145" t="s">
        <v>164</v>
      </c>
      <c r="V29" s="10"/>
      <c r="W29" s="10"/>
      <c r="X29" s="10"/>
      <c r="Y29" s="10"/>
      <c r="Z29" s="10"/>
      <c r="AA29" s="10"/>
      <c r="AB29" s="10"/>
      <c r="AC29" s="2"/>
      <c r="AD29" s="2"/>
      <c r="AE29" s="2"/>
    </row>
    <row r="30" spans="1:31" ht="14.25">
      <c r="A30" s="141"/>
      <c r="B30" s="141"/>
      <c r="C30" s="141"/>
      <c r="D30" s="141"/>
      <c r="E30" s="141"/>
      <c r="F30" s="141"/>
      <c r="G30" s="141"/>
      <c r="H30" s="141"/>
      <c r="I30" s="141"/>
      <c r="J30" s="68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2"/>
      <c r="AD30" s="2"/>
      <c r="AE30" s="2"/>
    </row>
    <row r="31" spans="1:31" ht="14.25">
      <c r="A31" s="97" t="s">
        <v>53</v>
      </c>
      <c r="B31" s="98" t="s">
        <v>54</v>
      </c>
      <c r="C31" s="159" t="str">
        <f>C3</f>
        <v>SS400</v>
      </c>
      <c r="D31" s="100"/>
      <c r="E31" s="101" t="s">
        <v>56</v>
      </c>
      <c r="F31" s="101" t="s">
        <v>57</v>
      </c>
      <c r="G31" s="101" t="s">
        <v>58</v>
      </c>
      <c r="H31" s="101" t="s">
        <v>59</v>
      </c>
      <c r="I31" s="102" t="s">
        <v>60</v>
      </c>
      <c r="J31" s="103" t="s">
        <v>61</v>
      </c>
      <c r="K31" s="103" t="s">
        <v>62</v>
      </c>
      <c r="L31" s="103" t="s">
        <v>63</v>
      </c>
      <c r="M31" s="103"/>
      <c r="N31" s="103" t="s">
        <v>64</v>
      </c>
      <c r="O31" s="103"/>
      <c r="P31" s="103" t="s">
        <v>65</v>
      </c>
      <c r="Q31" s="103"/>
      <c r="R31" s="103" t="s">
        <v>66</v>
      </c>
      <c r="S31" s="103" t="s">
        <v>67</v>
      </c>
      <c r="T31" s="10"/>
      <c r="U31" s="10"/>
      <c r="V31" s="10"/>
      <c r="W31" s="10"/>
      <c r="X31" s="10"/>
      <c r="Y31" s="10"/>
      <c r="Z31" s="10"/>
      <c r="AA31" s="10"/>
      <c r="AB31" s="10"/>
      <c r="AC31" s="2"/>
      <c r="AD31" s="2"/>
      <c r="AE31" s="2"/>
    </row>
    <row r="32" spans="1:31" ht="14.25">
      <c r="A32" s="104"/>
      <c r="B32" s="105" t="s">
        <v>68</v>
      </c>
      <c r="C32" s="125">
        <f>C4</f>
        <v>235</v>
      </c>
      <c r="D32" s="107" t="s">
        <v>69</v>
      </c>
      <c r="E32" s="108" t="s">
        <v>70</v>
      </c>
      <c r="F32" s="108" t="s">
        <v>70</v>
      </c>
      <c r="G32" s="108" t="s">
        <v>70</v>
      </c>
      <c r="H32" s="108" t="s">
        <v>70</v>
      </c>
      <c r="I32" s="109" t="s">
        <v>70</v>
      </c>
      <c r="J32" s="110" t="s">
        <v>71</v>
      </c>
      <c r="K32" s="110" t="s">
        <v>72</v>
      </c>
      <c r="L32" s="110" t="s">
        <v>73</v>
      </c>
      <c r="M32" s="110" t="s">
        <v>73</v>
      </c>
      <c r="N32" s="110" t="s">
        <v>74</v>
      </c>
      <c r="O32" s="110" t="s">
        <v>74</v>
      </c>
      <c r="P32" s="110" t="s">
        <v>75</v>
      </c>
      <c r="Q32" s="110" t="s">
        <v>75</v>
      </c>
      <c r="R32" s="110"/>
      <c r="S32" s="110"/>
      <c r="T32" s="10"/>
      <c r="U32" s="10"/>
      <c r="V32" s="10"/>
      <c r="W32" s="10"/>
      <c r="X32" s="10"/>
      <c r="Y32" s="10"/>
      <c r="Z32" s="10"/>
      <c r="AA32" s="10"/>
      <c r="AB32" s="10"/>
      <c r="AC32" s="2"/>
      <c r="AD32" s="2"/>
      <c r="AE32" s="2"/>
    </row>
    <row r="33" spans="1:31" ht="14.25">
      <c r="A33" s="111"/>
      <c r="B33" s="160">
        <f>B5</f>
        <v>0</v>
      </c>
      <c r="C33" s="161"/>
      <c r="D33" s="162"/>
      <c r="E33" s="163">
        <f>E5</f>
        <v>0</v>
      </c>
      <c r="F33" s="163">
        <f>F5</f>
        <v>0</v>
      </c>
      <c r="G33" s="163">
        <f>G5</f>
        <v>0</v>
      </c>
      <c r="H33" s="163">
        <f>H5</f>
        <v>0</v>
      </c>
      <c r="I33" s="164">
        <f>I5</f>
        <v>0</v>
      </c>
      <c r="J33" s="113">
        <f>(F33*H33*2+(E33-H33*2)*G33+(4-PI())*I33^2)/100</f>
        <v>0</v>
      </c>
      <c r="K33" s="114">
        <f>J33*7.85*100/1000</f>
        <v>0</v>
      </c>
      <c r="L33" s="115">
        <f>(F33*E33^3/12-(F33-G33)*(E33-2*H33)^3/12+(0.008077*I33^4+0.2146*I33^2*((E33-2*H33)/2-0.17365*I33)^2)*4)/10000</f>
        <v>0</v>
      </c>
      <c r="M33" s="115">
        <f>(H33*F33^3/12*2+(E33-2*H33)*G33^3/12+(0.008077*I33^4+0.2146*I33^2*(G33/2+0.17365*I33)^2)*4)/10000</f>
        <v>0</v>
      </c>
      <c r="N33" s="113" t="e">
        <f>SQRT(L33/J33)</f>
        <v>#DIV/0!</v>
      </c>
      <c r="O33" s="113" t="e">
        <f>SQRT(M33/J33)</f>
        <v>#DIV/0!</v>
      </c>
      <c r="P33" s="115" t="e">
        <f>L33/(E33/20)</f>
        <v>#DIV/0!</v>
      </c>
      <c r="Q33" s="115" t="e">
        <f>M33/(F33/20)</f>
        <v>#DIV/0!</v>
      </c>
      <c r="R33" s="113" t="e">
        <f>SQRT((H33*F33^3/12+(E33/6-H33)*G33^3/12+(0.008077*I33^4+0.2146*I33^2*(G33/2+0.1736*I33)^2)*2)/(F33*H33+(E33/6-H33)*G33+(0.2146*I33^2)*2))/10</f>
        <v>#DIV/0!</v>
      </c>
      <c r="S33" s="113" t="e">
        <f>R33*E33/10/(F33*H33/100)</f>
        <v>#DIV/0!</v>
      </c>
      <c r="T33" s="10"/>
      <c r="U33" s="10"/>
      <c r="V33" s="10"/>
      <c r="W33" s="10"/>
      <c r="X33" s="10"/>
      <c r="Y33" s="10"/>
      <c r="Z33" s="10"/>
      <c r="AA33" s="10"/>
      <c r="AB33" s="10"/>
      <c r="AC33" s="2"/>
      <c r="AD33" s="2"/>
      <c r="AE33" s="2"/>
    </row>
    <row r="34" spans="1:31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2"/>
      <c r="AD34" s="2"/>
      <c r="AE34" s="2"/>
    </row>
    <row r="35" spans="1:31" ht="14.25">
      <c r="A35" s="10" t="s">
        <v>76</v>
      </c>
      <c r="B35" s="151">
        <f>B7</f>
        <v>0</v>
      </c>
      <c r="C35" s="10" t="s">
        <v>77</v>
      </c>
      <c r="D35" s="10" t="s">
        <v>78</v>
      </c>
      <c r="E35" s="135">
        <f>E7</f>
        <v>1</v>
      </c>
      <c r="F35" s="10" t="s">
        <v>79</v>
      </c>
      <c r="G35" s="10"/>
      <c r="H35" s="117">
        <f>N41</f>
        <v>180</v>
      </c>
      <c r="I35" s="10" t="s">
        <v>80</v>
      </c>
      <c r="J35" s="10"/>
      <c r="K35" s="10"/>
      <c r="L35" s="97" t="s">
        <v>81</v>
      </c>
      <c r="M35" s="97" t="s">
        <v>82</v>
      </c>
      <c r="N35" s="97" t="s">
        <v>83</v>
      </c>
      <c r="O35" s="97" t="s">
        <v>84</v>
      </c>
      <c r="P35" s="97" t="s">
        <v>85</v>
      </c>
      <c r="Q35" s="98" t="s">
        <v>86</v>
      </c>
      <c r="R35" s="100"/>
      <c r="S35" s="97" t="s">
        <v>87</v>
      </c>
      <c r="T35" s="10"/>
      <c r="U35" s="10"/>
      <c r="V35" s="10"/>
      <c r="W35" s="10"/>
      <c r="X35" s="10"/>
      <c r="Y35" s="10"/>
      <c r="Z35" s="10"/>
      <c r="AA35" s="10"/>
      <c r="AB35" s="10"/>
      <c r="AC35" s="2"/>
      <c r="AD35" s="2"/>
      <c r="AE35" s="2"/>
    </row>
    <row r="36" spans="1:31" ht="14.25">
      <c r="A36" s="10" t="s">
        <v>88</v>
      </c>
      <c r="B36" s="118"/>
      <c r="C36" s="10" t="s">
        <v>89</v>
      </c>
      <c r="D36" s="10" t="s">
        <v>90</v>
      </c>
      <c r="E36" s="182" t="e">
        <f>'多荷重固定端短期'!M37*100000</f>
        <v>#DIV/0!</v>
      </c>
      <c r="F36" s="10" t="s">
        <v>91</v>
      </c>
      <c r="G36" s="10" t="s">
        <v>92</v>
      </c>
      <c r="H36" s="118" t="e">
        <f>'多荷重固定端短期'!M38*1000</f>
        <v>#DIV/0!</v>
      </c>
      <c r="I36" s="10" t="s">
        <v>93</v>
      </c>
      <c r="J36" s="10"/>
      <c r="K36" s="10"/>
      <c r="L36" s="104" t="s">
        <v>94</v>
      </c>
      <c r="M36" s="104" t="s">
        <v>95</v>
      </c>
      <c r="N36" s="119" t="s">
        <v>96</v>
      </c>
      <c r="O36" s="119" t="s">
        <v>96</v>
      </c>
      <c r="P36" s="104"/>
      <c r="Q36" s="105" t="s">
        <v>97</v>
      </c>
      <c r="R36" s="107"/>
      <c r="S36" s="110" t="s">
        <v>98</v>
      </c>
      <c r="T36" s="10"/>
      <c r="U36" s="10"/>
      <c r="V36" s="10"/>
      <c r="W36" s="10"/>
      <c r="X36" s="10"/>
      <c r="Y36" s="10"/>
      <c r="Z36" s="10"/>
      <c r="AA36" s="10"/>
      <c r="AB36" s="10"/>
      <c r="AC36" s="2"/>
      <c r="AD36" s="2"/>
      <c r="AE36" s="2"/>
    </row>
    <row r="37" spans="1:31" ht="14.25">
      <c r="A37" s="68"/>
      <c r="B37" s="120"/>
      <c r="C37" s="68" t="s">
        <v>99</v>
      </c>
      <c r="D37" s="10" t="s">
        <v>90</v>
      </c>
      <c r="E37" s="118"/>
      <c r="F37" s="10" t="s">
        <v>91</v>
      </c>
      <c r="G37" s="68"/>
      <c r="H37" s="120"/>
      <c r="I37" s="68"/>
      <c r="J37" s="10"/>
      <c r="K37" s="10"/>
      <c r="L37" s="115">
        <f>(E33-H33)^2*M33/4/100</f>
        <v>0</v>
      </c>
      <c r="M37" s="121">
        <f>(2*F33*H33^3+(E33-H33)*G33^3)/3/10000</f>
        <v>0</v>
      </c>
      <c r="N37" s="122" t="e">
        <f>P33*C32*1000/10</f>
        <v>#DIV/0!</v>
      </c>
      <c r="O37" s="122" t="e">
        <f>N46*SQRT((PI()^4*205000*M33*10000*205000*L37*1000000/(N41*10)^4)+(PI()^2*205000*M33*10000*79000*M37*10000)/(N41*10)^2)/10</f>
        <v>#DIV/0!</v>
      </c>
      <c r="P37" s="113" t="e">
        <f>SQRT(N37/O37)</f>
        <v>#DIV/0!</v>
      </c>
      <c r="Q37" s="123">
        <f>1/SQRT(0.6)</f>
        <v>1.2909944487358056</v>
      </c>
      <c r="R37" s="124"/>
      <c r="S37" s="125">
        <f>(E33-2*(H33+I33))*G33</f>
        <v>0</v>
      </c>
      <c r="T37" s="10"/>
      <c r="U37" s="10"/>
      <c r="V37" s="10"/>
      <c r="W37" s="10"/>
      <c r="X37" s="10"/>
      <c r="Y37" s="10"/>
      <c r="Z37" s="10"/>
      <c r="AA37" s="10"/>
      <c r="AB37" s="10"/>
      <c r="AC37" s="2"/>
      <c r="AD37" s="2"/>
      <c r="AE37" s="2"/>
    </row>
    <row r="38" spans="1:31" ht="14.25">
      <c r="A38" s="68" t="s">
        <v>100</v>
      </c>
      <c r="B38" s="120"/>
      <c r="C38" s="10"/>
      <c r="D38" s="68"/>
      <c r="E38" s="120"/>
      <c r="F38" s="68"/>
      <c r="G38" s="68"/>
      <c r="H38" s="126"/>
      <c r="I38" s="68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2"/>
      <c r="AD38" s="2"/>
      <c r="AE38" s="2"/>
    </row>
    <row r="39" spans="1:31" ht="14.25">
      <c r="A39" s="68"/>
      <c r="B39" s="68"/>
      <c r="C39" s="127" t="s">
        <v>101</v>
      </c>
      <c r="D39" s="68"/>
      <c r="E39" s="68"/>
      <c r="F39" s="68"/>
      <c r="G39" s="68"/>
      <c r="H39" s="128" t="e">
        <f>IF(P37&lt;=N47,C32/N48,"該当しない")</f>
        <v>#DIV/0!</v>
      </c>
      <c r="I39" s="68" t="s">
        <v>102</v>
      </c>
      <c r="J39" s="10"/>
      <c r="K39" s="10"/>
      <c r="L39" s="129"/>
      <c r="M39" s="10"/>
      <c r="N39" s="10"/>
      <c r="O39" s="10"/>
      <c r="P39" s="10" t="s">
        <v>103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2"/>
      <c r="AD39" s="2"/>
      <c r="AE39" s="2"/>
    </row>
    <row r="40" spans="1:31" ht="14.25">
      <c r="A40" s="68" t="s">
        <v>104</v>
      </c>
      <c r="B40" s="68"/>
      <c r="C40" s="68"/>
      <c r="D40" s="68"/>
      <c r="E40" s="120"/>
      <c r="F40" s="68"/>
      <c r="G40" s="68"/>
      <c r="H40" s="126"/>
      <c r="I40" s="68"/>
      <c r="J40" s="10"/>
      <c r="K40" s="10"/>
      <c r="L40" s="10"/>
      <c r="M40" s="10"/>
      <c r="N40" s="10"/>
      <c r="O40" s="10"/>
      <c r="P40" s="10"/>
      <c r="Q40" s="10"/>
      <c r="R40" s="10"/>
      <c r="S40" s="10" t="s">
        <v>105</v>
      </c>
      <c r="T40" s="10"/>
      <c r="U40" s="10"/>
      <c r="V40" s="10"/>
      <c r="W40" s="10"/>
      <c r="X40" s="10"/>
      <c r="Y40" s="10"/>
      <c r="Z40" s="10"/>
      <c r="AA40" s="10"/>
      <c r="AB40" s="10"/>
      <c r="AC40" s="2"/>
      <c r="AD40" s="2"/>
      <c r="AE40" s="2"/>
    </row>
    <row r="41" spans="1:31" ht="14.25">
      <c r="A41" s="68"/>
      <c r="B41" s="68"/>
      <c r="C41" s="68" t="s">
        <v>106</v>
      </c>
      <c r="D41" s="68"/>
      <c r="E41" s="68"/>
      <c r="F41" s="68"/>
      <c r="G41" s="68"/>
      <c r="H41" s="128" t="e">
        <f>IF(P37&gt;N47,IF(P37&lt;=Q37,(1-0.4*(P37-N47)/(Q37-N47))*C32/N48,"該当しない"),"該当しない")</f>
        <v>#DIV/0!</v>
      </c>
      <c r="I41" s="68" t="s">
        <v>107</v>
      </c>
      <c r="J41" s="10"/>
      <c r="K41" s="10" t="s">
        <v>108</v>
      </c>
      <c r="L41" s="10"/>
      <c r="M41" s="10"/>
      <c r="N41" s="117">
        <f>N13</f>
        <v>180</v>
      </c>
      <c r="O41" s="10" t="s">
        <v>109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2"/>
      <c r="AD41" s="2"/>
      <c r="AE41" s="2"/>
    </row>
    <row r="42" spans="1:31" ht="14.25">
      <c r="A42" s="130" t="s">
        <v>110</v>
      </c>
      <c r="B42" s="69"/>
      <c r="C42" s="68"/>
      <c r="D42" s="127"/>
      <c r="E42" s="131"/>
      <c r="F42" s="68"/>
      <c r="G42" s="127"/>
      <c r="H42" s="126"/>
      <c r="I42" s="68"/>
      <c r="J42" s="10"/>
      <c r="K42" s="10" t="s">
        <v>111</v>
      </c>
      <c r="L42" s="10"/>
      <c r="M42" s="10"/>
      <c r="N42" s="133" t="e">
        <f>MAX(ABS('多荷重固定端短期'!G32),ABS('多荷重固定端短期'!M32))*100000</f>
        <v>#DIV/0!</v>
      </c>
      <c r="O42" s="10" t="s">
        <v>112</v>
      </c>
      <c r="P42" s="10"/>
      <c r="Q42" s="10"/>
      <c r="R42" s="10"/>
      <c r="S42" s="132">
        <v>1</v>
      </c>
      <c r="T42" s="10"/>
      <c r="U42" s="10"/>
      <c r="V42" s="10"/>
      <c r="W42" s="10"/>
      <c r="X42" s="10"/>
      <c r="Y42" s="10"/>
      <c r="Z42" s="10"/>
      <c r="AA42" s="10"/>
      <c r="AB42" s="10"/>
      <c r="AC42" s="2"/>
      <c r="AD42" s="2"/>
      <c r="AE42" s="2"/>
    </row>
    <row r="43" spans="1:31" ht="14.25">
      <c r="A43" s="127"/>
      <c r="B43" s="69"/>
      <c r="C43" s="68" t="s">
        <v>113</v>
      </c>
      <c r="D43" s="127"/>
      <c r="E43" s="131"/>
      <c r="F43" s="68"/>
      <c r="G43" s="68"/>
      <c r="H43" s="133" t="e">
        <f>IF(P37&gt;Q37,1/(P37)^2*C32/2.17,"該当しない")</f>
        <v>#DIV/0!</v>
      </c>
      <c r="I43" s="68" t="s">
        <v>114</v>
      </c>
      <c r="J43" s="10"/>
      <c r="K43" s="10" t="s">
        <v>115</v>
      </c>
      <c r="L43" s="10"/>
      <c r="M43" s="10"/>
      <c r="N43" s="133" t="e">
        <f>MIN(ABS('多荷重固定端短期'!G32),ABS('多荷重固定端短期'!M32))*100000</f>
        <v>#DIV/0!</v>
      </c>
      <c r="O43" s="10" t="s">
        <v>112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2"/>
      <c r="AD43" s="2"/>
      <c r="AE43" s="2"/>
    </row>
    <row r="44" spans="1:31" ht="14.25">
      <c r="A44" s="68"/>
      <c r="B44" s="68"/>
      <c r="C44" s="68"/>
      <c r="D44" s="68"/>
      <c r="E44" s="68"/>
      <c r="F44" s="68"/>
      <c r="G44" s="68"/>
      <c r="H44" s="68"/>
      <c r="I44" s="68"/>
      <c r="J44" s="10"/>
      <c r="K44" s="10" t="s">
        <v>116</v>
      </c>
      <c r="L44" s="10"/>
      <c r="M44" s="10"/>
      <c r="N44" s="118">
        <v>3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2"/>
      <c r="AD44" s="2"/>
      <c r="AE44" s="2"/>
    </row>
    <row r="45" spans="1:31" ht="14.25">
      <c r="A45" s="134" t="s">
        <v>117</v>
      </c>
      <c r="B45" s="134"/>
      <c r="C45" s="10"/>
      <c r="D45" s="10" t="s">
        <v>118</v>
      </c>
      <c r="E45" s="10"/>
      <c r="F45" s="10"/>
      <c r="G45" s="10" t="s">
        <v>119</v>
      </c>
      <c r="H45" s="10"/>
      <c r="I45" s="10"/>
      <c r="J45" s="10"/>
      <c r="K45" s="10" t="s">
        <v>120</v>
      </c>
      <c r="L45" s="10"/>
      <c r="M45" s="10"/>
      <c r="N45" s="135" t="e">
        <f>IF(N42=0,IF(N44=3,1,1),IF(N44=3,1,1.75+N44*ABS(N43/N42)*1.05+0.3*(N43/N42)^2))</f>
        <v>#DIV/0!</v>
      </c>
      <c r="O45" s="10"/>
      <c r="P45" s="10"/>
      <c r="Q45" s="10"/>
      <c r="R45" s="10"/>
      <c r="S45" s="132">
        <v>-1</v>
      </c>
      <c r="T45" s="10"/>
      <c r="U45" s="10"/>
      <c r="V45" s="10"/>
      <c r="W45" s="10"/>
      <c r="X45" s="10"/>
      <c r="Y45" s="10"/>
      <c r="Z45" s="10"/>
      <c r="AA45" s="10"/>
      <c r="AB45" s="10"/>
      <c r="AC45" s="2"/>
      <c r="AD45" s="2"/>
      <c r="AE45" s="2"/>
    </row>
    <row r="46" spans="1:31" ht="14.25">
      <c r="A46" s="127" t="s">
        <v>121</v>
      </c>
      <c r="B46" s="136" t="e">
        <f>P56*1.5</f>
        <v>#DIV/0!</v>
      </c>
      <c r="C46" s="137" t="s">
        <v>122</v>
      </c>
      <c r="D46" s="138" t="s">
        <v>123</v>
      </c>
      <c r="E46" s="128" t="e">
        <f>MAX(H39:H43)*1.5</f>
        <v>#DIV/0!</v>
      </c>
      <c r="F46" s="137" t="s">
        <v>124</v>
      </c>
      <c r="G46" s="138" t="s">
        <v>125</v>
      </c>
      <c r="H46" s="128">
        <f>C32/1.5/SQRT(3)*1.5</f>
        <v>135.67731325956206</v>
      </c>
      <c r="I46" s="10" t="s">
        <v>124</v>
      </c>
      <c r="J46" s="10"/>
      <c r="K46" s="10" t="s">
        <v>126</v>
      </c>
      <c r="L46" s="10"/>
      <c r="M46" s="10"/>
      <c r="N46" s="135" t="e">
        <f>IF(N45&gt;=2.3,2.3,N45)</f>
        <v>#DIV/0!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2"/>
      <c r="AD46" s="2"/>
      <c r="AE46" s="2"/>
    </row>
    <row r="47" spans="1:31" ht="13.5">
      <c r="A47" s="134"/>
      <c r="B47" s="139"/>
      <c r="C47" s="137"/>
      <c r="D47" s="138" t="s">
        <v>127</v>
      </c>
      <c r="E47" s="128">
        <f>C32/1.5*1.5</f>
        <v>235</v>
      </c>
      <c r="F47" s="137" t="s">
        <v>124</v>
      </c>
      <c r="G47" s="137"/>
      <c r="H47" s="126"/>
      <c r="I47" s="10"/>
      <c r="J47" s="10"/>
      <c r="K47" s="68" t="s">
        <v>129</v>
      </c>
      <c r="L47" s="68"/>
      <c r="M47" s="68"/>
      <c r="N47" s="135" t="e">
        <f>IF(N42=0,IF(N44=3,0.3,0.3),IF(N44=3,0.3,0.6+0.3*ABS(N43/N42)*N44))</f>
        <v>#DIV/0!</v>
      </c>
      <c r="O47" s="68"/>
      <c r="P47" s="10" t="s">
        <v>130</v>
      </c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2"/>
      <c r="AD47" s="2"/>
      <c r="AE47" s="2"/>
    </row>
    <row r="48" spans="1:31" ht="14.25">
      <c r="A48" s="134" t="s">
        <v>131</v>
      </c>
      <c r="B48" s="139"/>
      <c r="C48" s="139"/>
      <c r="D48" s="139"/>
      <c r="E48" s="139"/>
      <c r="F48" s="139"/>
      <c r="G48" s="139"/>
      <c r="H48" s="139"/>
      <c r="I48" s="134"/>
      <c r="J48" s="68"/>
      <c r="K48" s="68" t="s">
        <v>132</v>
      </c>
      <c r="L48" s="68"/>
      <c r="M48" s="68"/>
      <c r="N48" s="135" t="e">
        <f>IF(N41=0,1.5,3/2+2/3*(P37/Q37)^2)</f>
        <v>#DIV/0!</v>
      </c>
      <c r="O48" s="68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2"/>
      <c r="AD48" s="2"/>
      <c r="AE48" s="2"/>
    </row>
    <row r="49" spans="1:31" ht="14.25">
      <c r="A49" s="127" t="s">
        <v>133</v>
      </c>
      <c r="B49" s="136" t="e">
        <f>B36/(J33*100)</f>
        <v>#DIV/0!</v>
      </c>
      <c r="C49" s="137" t="s">
        <v>134</v>
      </c>
      <c r="D49" s="139" t="s">
        <v>135</v>
      </c>
      <c r="E49" s="136" t="e">
        <f>E36/P33/100</f>
        <v>#DIV/0!</v>
      </c>
      <c r="F49" s="137" t="s">
        <v>136</v>
      </c>
      <c r="G49" s="140" t="s">
        <v>137</v>
      </c>
      <c r="H49" s="136" t="e">
        <f>H36/S37</f>
        <v>#DIV/0!</v>
      </c>
      <c r="I49" s="68" t="s">
        <v>136</v>
      </c>
      <c r="J49" s="68"/>
      <c r="K49" s="68"/>
      <c r="L49" s="68"/>
      <c r="M49" s="68"/>
      <c r="N49" s="68"/>
      <c r="O49" s="68"/>
      <c r="P49" s="10"/>
      <c r="Q49" s="10"/>
      <c r="R49" s="10"/>
      <c r="S49" s="132">
        <v>3</v>
      </c>
      <c r="T49" s="10"/>
      <c r="U49" s="10"/>
      <c r="V49" s="10"/>
      <c r="W49" s="10"/>
      <c r="X49" s="10"/>
      <c r="Y49" s="10"/>
      <c r="Z49" s="10"/>
      <c r="AA49" s="10"/>
      <c r="AB49" s="10"/>
      <c r="AC49" s="2"/>
      <c r="AD49" s="2"/>
      <c r="AE49" s="2"/>
    </row>
    <row r="50" spans="1:31" ht="14.25">
      <c r="A50" s="141"/>
      <c r="B50" s="142"/>
      <c r="C50" s="142"/>
      <c r="D50" s="142" t="s">
        <v>138</v>
      </c>
      <c r="E50" s="136" t="e">
        <f>E37/Q33/100</f>
        <v>#DIV/0!</v>
      </c>
      <c r="F50" s="137" t="s">
        <v>136</v>
      </c>
      <c r="G50" s="142"/>
      <c r="H50" s="142"/>
      <c r="I50" s="141"/>
      <c r="J50" s="68"/>
      <c r="K50" s="18" t="s">
        <v>139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0"/>
      <c r="W50" s="10"/>
      <c r="X50" s="10"/>
      <c r="Y50" s="10"/>
      <c r="Z50" s="10"/>
      <c r="AA50" s="10"/>
      <c r="AB50" s="10"/>
      <c r="AC50" s="2"/>
      <c r="AD50" s="2"/>
      <c r="AE50" s="2"/>
    </row>
    <row r="51" spans="1:31" ht="14.25">
      <c r="A51" s="141"/>
      <c r="B51" s="141"/>
      <c r="C51" s="141"/>
      <c r="D51" s="141"/>
      <c r="E51" s="141"/>
      <c r="F51" s="141"/>
      <c r="G51" s="141"/>
      <c r="H51" s="141"/>
      <c r="I51" s="141"/>
      <c r="J51" s="10"/>
      <c r="K51" s="18"/>
      <c r="L51" s="143" t="s">
        <v>140</v>
      </c>
      <c r="M51" s="144" t="e">
        <f>B35*E35/O33</f>
        <v>#DIV/0!</v>
      </c>
      <c r="N51" s="145" t="s">
        <v>141</v>
      </c>
      <c r="O51" s="145"/>
      <c r="P51" s="145"/>
      <c r="Q51" s="18" t="s">
        <v>142</v>
      </c>
      <c r="R51" s="10"/>
      <c r="S51" s="10"/>
      <c r="T51" s="10"/>
      <c r="U51" s="68"/>
      <c r="V51" s="10"/>
      <c r="W51" s="10"/>
      <c r="X51" s="10"/>
      <c r="Y51" s="10"/>
      <c r="Z51" s="10"/>
      <c r="AA51" s="10"/>
      <c r="AB51" s="10"/>
      <c r="AC51" s="2"/>
      <c r="AD51" s="2"/>
      <c r="AE51" s="2"/>
    </row>
    <row r="52" spans="1:31" ht="13.5">
      <c r="A52" s="141" t="s">
        <v>143</v>
      </c>
      <c r="B52" s="10" t="s">
        <v>144</v>
      </c>
      <c r="C52" s="10" t="s">
        <v>145</v>
      </c>
      <c r="D52" s="10"/>
      <c r="E52" s="10"/>
      <c r="F52" s="146" t="e">
        <f>E49/E46+E50/E47+B49/B46</f>
        <v>#DIV/0!</v>
      </c>
      <c r="G52" s="147" t="e">
        <f>IF(F52&lt;=1,"≦","＞")</f>
        <v>#DIV/0!</v>
      </c>
      <c r="H52" s="148">
        <v>1</v>
      </c>
      <c r="I52" s="145" t="e">
        <f>IF(F52&lt;=1,"OK","ＮＧ")</f>
        <v>#DIV/0!</v>
      </c>
      <c r="J52" s="68"/>
      <c r="K52" s="18"/>
      <c r="L52" s="68" t="s">
        <v>146</v>
      </c>
      <c r="M52" s="149"/>
      <c r="N52" s="145"/>
      <c r="O52" s="145"/>
      <c r="P52" s="145"/>
      <c r="Q52" s="145"/>
      <c r="R52" s="145"/>
      <c r="S52" s="145"/>
      <c r="T52" s="10"/>
      <c r="U52" s="150"/>
      <c r="V52" s="10"/>
      <c r="W52" s="10"/>
      <c r="X52" s="10"/>
      <c r="Y52" s="10"/>
      <c r="Z52" s="10"/>
      <c r="AA52" s="10"/>
      <c r="AB52" s="10"/>
      <c r="AC52" s="2"/>
      <c r="AD52" s="2"/>
      <c r="AE52" s="2"/>
    </row>
    <row r="53" spans="1:31" ht="13.5">
      <c r="A53" s="141"/>
      <c r="B53" s="10" t="s">
        <v>147</v>
      </c>
      <c r="C53" s="145" t="s">
        <v>148</v>
      </c>
      <c r="D53" s="10"/>
      <c r="E53" s="10"/>
      <c r="F53" s="146" t="e">
        <f>(E49+E50-B49)/(C32/1.5*1.5)</f>
        <v>#DIV/0!</v>
      </c>
      <c r="G53" s="147" t="e">
        <f>IF(F53&lt;=1,"≦","＞")</f>
        <v>#DIV/0!</v>
      </c>
      <c r="H53" s="148">
        <v>1</v>
      </c>
      <c r="I53" s="145" t="e">
        <f>IF(F53&lt;=1,"OK","ＮＧ")</f>
        <v>#DIV/0!</v>
      </c>
      <c r="J53" s="68"/>
      <c r="K53" s="18"/>
      <c r="L53" s="145" t="s">
        <v>149</v>
      </c>
      <c r="M53" s="145"/>
      <c r="N53" s="151">
        <f>SQRT(PI()^2*205000/0.6/C32)</f>
        <v>119.78908480518268</v>
      </c>
      <c r="O53" s="145"/>
      <c r="P53" s="145" t="s">
        <v>150</v>
      </c>
      <c r="Q53" s="145"/>
      <c r="R53" s="152" t="e">
        <f>1.5+2/3*(M51/N53)^2</f>
        <v>#DIV/0!</v>
      </c>
      <c r="S53" s="145"/>
      <c r="T53" s="10"/>
      <c r="U53" s="68"/>
      <c r="V53" s="10"/>
      <c r="W53" s="10"/>
      <c r="X53" s="10"/>
      <c r="Y53" s="10"/>
      <c r="Z53" s="10"/>
      <c r="AA53" s="10"/>
      <c r="AB53" s="10"/>
      <c r="AC53" s="2"/>
      <c r="AD53" s="2"/>
      <c r="AE53" s="2"/>
    </row>
    <row r="54" spans="1:31" ht="13.5">
      <c r="A54" s="141"/>
      <c r="B54" s="10" t="s">
        <v>151</v>
      </c>
      <c r="C54" s="10" t="s">
        <v>152</v>
      </c>
      <c r="D54" s="10"/>
      <c r="E54" s="10"/>
      <c r="F54" s="146" t="e">
        <f>H49/H46</f>
        <v>#DIV/0!</v>
      </c>
      <c r="G54" s="147" t="e">
        <f>IF(F54&lt;=1,"≦","＞")</f>
        <v>#DIV/0!</v>
      </c>
      <c r="H54" s="148">
        <v>1</v>
      </c>
      <c r="I54" s="145" t="e">
        <f>IF(F54&lt;=1,"OK","ＮＧ")</f>
        <v>#DIV/0!</v>
      </c>
      <c r="J54" s="68"/>
      <c r="K54" s="145" t="s">
        <v>153</v>
      </c>
      <c r="L54" s="10"/>
      <c r="M54" s="145"/>
      <c r="N54" s="145" t="s">
        <v>154</v>
      </c>
      <c r="O54" s="145"/>
      <c r="P54" s="145" t="s">
        <v>155</v>
      </c>
      <c r="Q54" s="145"/>
      <c r="R54" s="145"/>
      <c r="S54" s="145"/>
      <c r="T54" s="10"/>
      <c r="U54" s="10"/>
      <c r="V54" s="10"/>
      <c r="W54" s="10"/>
      <c r="X54" s="10"/>
      <c r="Y54" s="10"/>
      <c r="Z54" s="10"/>
      <c r="AA54" s="10"/>
      <c r="AB54" s="10"/>
      <c r="AC54" s="2"/>
      <c r="AD54" s="2"/>
      <c r="AE54" s="2"/>
    </row>
    <row r="55" spans="1:31" ht="13.5">
      <c r="A55" s="141"/>
      <c r="B55" s="141"/>
      <c r="C55" s="141"/>
      <c r="D55" s="141"/>
      <c r="E55" s="141"/>
      <c r="F55" s="141"/>
      <c r="G55" s="141"/>
      <c r="H55" s="141"/>
      <c r="I55" s="141"/>
      <c r="J55" s="68"/>
      <c r="K55" s="18"/>
      <c r="L55" s="145"/>
      <c r="M55" s="145"/>
      <c r="N55" s="145" t="s">
        <v>156</v>
      </c>
      <c r="O55" s="145"/>
      <c r="P55" s="145" t="s">
        <v>157</v>
      </c>
      <c r="Q55" s="145"/>
      <c r="R55" s="145"/>
      <c r="S55" s="145"/>
      <c r="T55" s="10"/>
      <c r="U55" s="10"/>
      <c r="V55" s="10"/>
      <c r="W55" s="10"/>
      <c r="X55" s="10"/>
      <c r="Y55" s="10"/>
      <c r="Z55" s="10"/>
      <c r="AA55" s="10"/>
      <c r="AB55" s="10"/>
      <c r="AC55" s="2"/>
      <c r="AD55" s="2"/>
      <c r="AE55" s="2"/>
    </row>
    <row r="56" spans="1:31" ht="13.5">
      <c r="A56" s="134"/>
      <c r="B56" s="134"/>
      <c r="C56" s="134"/>
      <c r="D56" s="134"/>
      <c r="E56" s="134"/>
      <c r="F56" s="134"/>
      <c r="G56" s="134"/>
      <c r="H56" s="134"/>
      <c r="I56" s="134"/>
      <c r="J56" s="68"/>
      <c r="K56" s="18"/>
      <c r="L56" s="145" t="s">
        <v>158</v>
      </c>
      <c r="M56" s="145" t="e">
        <f>IF(M51&lt;=N53,"λ≦Λ","λ＞Λ")</f>
        <v>#DIV/0!</v>
      </c>
      <c r="N56" s="145"/>
      <c r="O56" s="153" t="s">
        <v>159</v>
      </c>
      <c r="P56" s="154" t="e">
        <f>IF(M51&lt;=N53,(1-0.4*(M51/N53)^2)*C32/R53,0.277*C32/(M51/N53)^2)</f>
        <v>#DIV/0!</v>
      </c>
      <c r="Q56" s="145" t="s">
        <v>160</v>
      </c>
      <c r="R56" s="145"/>
      <c r="S56" s="145"/>
      <c r="T56" s="10"/>
      <c r="U56" s="10"/>
      <c r="V56" s="10"/>
      <c r="W56" s="10"/>
      <c r="X56" s="10"/>
      <c r="Y56" s="10"/>
      <c r="Z56" s="10"/>
      <c r="AA56" s="10"/>
      <c r="AB56" s="10"/>
      <c r="AC56" s="2"/>
      <c r="AD56" s="2"/>
      <c r="AE56" s="2"/>
    </row>
    <row r="57" spans="1:31" ht="13.5">
      <c r="A57" s="68"/>
      <c r="B57" s="68"/>
      <c r="C57" s="68"/>
      <c r="D57" s="68"/>
      <c r="E57" s="127"/>
      <c r="F57" s="150"/>
      <c r="G57" s="68"/>
      <c r="H57" s="68"/>
      <c r="I57" s="68"/>
      <c r="J57" s="68"/>
      <c r="K57" s="18"/>
      <c r="L57" s="145"/>
      <c r="M57" s="145"/>
      <c r="N57" s="145"/>
      <c r="O57" s="145"/>
      <c r="P57" s="157" t="e">
        <f>P56*100</f>
        <v>#DIV/0!</v>
      </c>
      <c r="Q57" s="145" t="s">
        <v>165</v>
      </c>
      <c r="R57" s="10"/>
      <c r="S57" s="145"/>
      <c r="T57" s="158" t="e">
        <f>P57/9.8/1000</f>
        <v>#DIV/0!</v>
      </c>
      <c r="U57" s="145" t="s">
        <v>166</v>
      </c>
      <c r="V57" s="10"/>
      <c r="W57" s="10"/>
      <c r="X57" s="10"/>
      <c r="Y57" s="10"/>
      <c r="Z57" s="10"/>
      <c r="AA57" s="10"/>
      <c r="AB57" s="10"/>
      <c r="AC57" s="2"/>
      <c r="AD57" s="2"/>
      <c r="AE57" s="2"/>
    </row>
    <row r="58" spans="1:31" ht="13.5">
      <c r="A58" s="134"/>
      <c r="B58" s="134"/>
      <c r="C58" s="134"/>
      <c r="D58" s="134"/>
      <c r="E58" s="134"/>
      <c r="F58" s="134"/>
      <c r="G58" s="134"/>
      <c r="H58" s="134"/>
      <c r="I58" s="134"/>
      <c r="J58" s="68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2"/>
      <c r="AD58" s="2"/>
      <c r="AE58" s="2"/>
    </row>
    <row r="59" spans="1:31" ht="13.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2"/>
      <c r="AD59" s="2"/>
      <c r="AE59" s="2"/>
    </row>
    <row r="60" spans="1:31" ht="13.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2"/>
      <c r="AD60" s="2"/>
      <c r="AE60" s="2"/>
    </row>
    <row r="61" spans="1:31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2"/>
      <c r="AD61" s="2"/>
      <c r="AE61" s="2"/>
    </row>
    <row r="62" spans="1:31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2"/>
      <c r="AD62" s="2"/>
      <c r="AE62" s="2"/>
    </row>
    <row r="63" spans="1:31" ht="13.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2"/>
      <c r="AD63" s="2"/>
      <c r="AE63" s="2"/>
    </row>
    <row r="64" spans="1:31" ht="14.25" thickBo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 t="s">
        <v>167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2"/>
      <c r="AD64" s="2"/>
      <c r="AE64" s="2"/>
    </row>
    <row r="65" spans="1:31" ht="13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65" t="s">
        <v>168</v>
      </c>
      <c r="M65" s="166"/>
      <c r="N65" s="167" t="s">
        <v>169</v>
      </c>
      <c r="O65" s="166"/>
      <c r="P65" s="166"/>
      <c r="Q65" s="168"/>
      <c r="R65" s="169" t="s">
        <v>170</v>
      </c>
      <c r="S65" s="169"/>
      <c r="T65" s="170"/>
      <c r="U65" s="10"/>
      <c r="V65" s="10"/>
      <c r="W65" s="10"/>
      <c r="X65" s="10"/>
      <c r="Y65" s="10"/>
      <c r="Z65" s="10"/>
      <c r="AA65" s="10"/>
      <c r="AB65" s="10"/>
      <c r="AC65" s="2"/>
      <c r="AD65" s="2"/>
      <c r="AE65" s="2"/>
    </row>
    <row r="66" spans="1:31" ht="13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71" t="s">
        <v>171</v>
      </c>
      <c r="M66" s="172"/>
      <c r="N66" s="173" t="s">
        <v>172</v>
      </c>
      <c r="O66" s="174" t="s">
        <v>173</v>
      </c>
      <c r="P66" s="175" t="s">
        <v>174</v>
      </c>
      <c r="Q66" s="176"/>
      <c r="R66" s="172" t="s">
        <v>173</v>
      </c>
      <c r="S66" s="175" t="s">
        <v>174</v>
      </c>
      <c r="T66" s="176"/>
      <c r="U66" s="10"/>
      <c r="V66" s="10"/>
      <c r="W66" s="10"/>
      <c r="X66" s="10"/>
      <c r="Y66" s="10"/>
      <c r="Z66" s="10"/>
      <c r="AA66" s="10"/>
      <c r="AB66" s="10"/>
      <c r="AC66" s="2"/>
      <c r="AD66" s="2"/>
      <c r="AE66" s="2"/>
    </row>
    <row r="67" spans="1:31" ht="14.25" thickBo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77" t="s">
        <v>175</v>
      </c>
      <c r="M67" s="178"/>
      <c r="N67" s="177" t="s">
        <v>176</v>
      </c>
      <c r="O67" s="179" t="s">
        <v>177</v>
      </c>
      <c r="P67" s="180" t="s">
        <v>178</v>
      </c>
      <c r="Q67" s="181"/>
      <c r="R67" s="178" t="s">
        <v>176</v>
      </c>
      <c r="S67" s="180" t="s">
        <v>178</v>
      </c>
      <c r="T67" s="181"/>
      <c r="U67" s="10"/>
      <c r="V67" s="10"/>
      <c r="W67" s="10"/>
      <c r="X67" s="10"/>
      <c r="Y67" s="10"/>
      <c r="Z67" s="10"/>
      <c r="AA67" s="10"/>
      <c r="AB67" s="10"/>
      <c r="AC67" s="2"/>
      <c r="AD67" s="2"/>
      <c r="AE67" s="2"/>
    </row>
    <row r="68" spans="1:31" ht="13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2"/>
      <c r="AD68" s="2"/>
      <c r="AE68" s="2"/>
    </row>
    <row r="69" spans="1:31" ht="13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2"/>
      <c r="AD69" s="2"/>
      <c r="AE69" s="2"/>
    </row>
    <row r="70" spans="1:31" ht="13.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2"/>
      <c r="AD70" s="2"/>
      <c r="AE70" s="2"/>
    </row>
    <row r="71" spans="1:31" ht="13.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2"/>
      <c r="AD71" s="2"/>
      <c r="AE71" s="2"/>
    </row>
    <row r="72" spans="1:31" ht="13.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2"/>
      <c r="AD72" s="2"/>
      <c r="AE72" s="2"/>
    </row>
    <row r="73" spans="1:31" ht="13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2"/>
      <c r="AD73" s="2"/>
      <c r="AE73" s="2"/>
    </row>
    <row r="74" spans="1:31" ht="13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2"/>
      <c r="AD74" s="2"/>
      <c r="AE74" s="2"/>
    </row>
    <row r="75" spans="1:31" ht="13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2"/>
      <c r="AD75" s="2"/>
      <c r="AE75" s="2"/>
    </row>
    <row r="76" spans="1:31" ht="13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2"/>
      <c r="AD76" s="2"/>
      <c r="AE76" s="2"/>
    </row>
    <row r="77" spans="1:31" ht="13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2"/>
      <c r="AD77" s="2"/>
      <c r="AE77" s="2"/>
    </row>
    <row r="78" spans="1:31" ht="13.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2"/>
      <c r="AD78" s="2"/>
      <c r="AE78" s="2"/>
    </row>
    <row r="79" spans="1:31" ht="13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2"/>
      <c r="AD79" s="2"/>
      <c r="AE79" s="2"/>
    </row>
    <row r="80" spans="1:31" ht="13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2"/>
      <c r="AD80" s="2"/>
      <c r="AE80" s="2"/>
    </row>
    <row r="81" spans="1:31" ht="13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2"/>
      <c r="AD81" s="2"/>
      <c r="AE81" s="2"/>
    </row>
    <row r="82" spans="1:31" ht="13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2"/>
      <c r="AD82" s="2"/>
      <c r="AE82" s="2"/>
    </row>
    <row r="83" spans="1:31" ht="13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2"/>
      <c r="AD83" s="2"/>
      <c r="AE83" s="2"/>
    </row>
    <row r="84" spans="1:31" ht="13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2"/>
      <c r="AD84" s="2"/>
      <c r="AE84" s="2"/>
    </row>
    <row r="85" spans="1:31" ht="13.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2"/>
      <c r="AD85" s="2"/>
      <c r="AE85" s="2"/>
    </row>
    <row r="86" spans="1:31" ht="13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2"/>
      <c r="AD86" s="2"/>
      <c r="AE86" s="2"/>
    </row>
    <row r="87" spans="1:31" ht="13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2"/>
      <c r="AD87" s="2"/>
      <c r="AE87" s="2"/>
    </row>
    <row r="88" spans="1:31" ht="13.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2"/>
      <c r="AD88" s="2"/>
      <c r="AE88" s="2"/>
    </row>
    <row r="89" spans="1:31" ht="13.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2"/>
      <c r="AD89" s="2"/>
      <c r="AE89" s="2"/>
    </row>
    <row r="90" spans="1:31" ht="13.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2"/>
      <c r="AD90" s="2"/>
      <c r="AE90" s="2"/>
    </row>
    <row r="91" spans="1:31" ht="13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2"/>
      <c r="AD91" s="2"/>
      <c r="AE91" s="2"/>
    </row>
    <row r="92" spans="1:31" ht="13.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2"/>
      <c r="AD92" s="2"/>
      <c r="AE92" s="2"/>
    </row>
    <row r="93" spans="1:31" ht="13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2"/>
      <c r="AD93" s="2"/>
      <c r="AE93" s="2"/>
    </row>
    <row r="94" spans="1:31" ht="13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2"/>
      <c r="AD94" s="2"/>
      <c r="AE94" s="2"/>
    </row>
    <row r="95" spans="1:31" ht="13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2"/>
      <c r="AD95" s="2"/>
      <c r="AE95" s="2"/>
    </row>
    <row r="96" spans="1:31" ht="13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2"/>
      <c r="AD96" s="2"/>
      <c r="AE96" s="2"/>
    </row>
    <row r="97" spans="1:31" ht="13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2"/>
      <c r="AD97" s="2"/>
      <c r="AE97" s="2"/>
    </row>
    <row r="98" spans="1:31" ht="13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2"/>
      <c r="AD98" s="2"/>
      <c r="AE98" s="2"/>
    </row>
    <row r="99" spans="1:31" ht="13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2"/>
      <c r="AD99" s="2"/>
      <c r="AE99" s="2"/>
    </row>
    <row r="100" spans="1:31" ht="13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2"/>
      <c r="AD100" s="2"/>
      <c r="AE100" s="2"/>
    </row>
    <row r="101" spans="1:31" ht="13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2"/>
      <c r="AD101" s="2"/>
      <c r="AE101" s="2"/>
    </row>
    <row r="102" spans="1:31" ht="13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2"/>
      <c r="AD102" s="2"/>
      <c r="AE102" s="2"/>
    </row>
    <row r="103" spans="1:31" ht="13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2"/>
      <c r="AD103" s="2"/>
      <c r="AE103" s="2"/>
    </row>
    <row r="104" spans="1:31" ht="13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2"/>
      <c r="AD104" s="2"/>
      <c r="AE104" s="2"/>
    </row>
    <row r="105" spans="1:31" ht="13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2"/>
      <c r="AD105" s="2"/>
      <c r="AE105" s="2"/>
    </row>
    <row r="106" spans="1:31" ht="13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2"/>
      <c r="AD106" s="2"/>
      <c r="AE106" s="2"/>
    </row>
    <row r="107" spans="1:31" ht="13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2"/>
      <c r="AD107" s="2"/>
      <c r="AE107" s="2"/>
    </row>
    <row r="108" spans="1:31" ht="13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2"/>
      <c r="AD108" s="2"/>
      <c r="AE108" s="2"/>
    </row>
    <row r="109" spans="1:31" ht="13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2"/>
      <c r="AD109" s="2"/>
      <c r="AE109" s="2"/>
    </row>
    <row r="110" spans="1:31" ht="13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2"/>
      <c r="AD110" s="2"/>
      <c r="AE110" s="2"/>
    </row>
    <row r="111" spans="1:31" ht="13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2"/>
      <c r="AD111" s="2"/>
      <c r="AE111" s="2"/>
    </row>
    <row r="112" spans="1:31" ht="13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2"/>
      <c r="AD112" s="2"/>
      <c r="AE112" s="2"/>
    </row>
    <row r="113" spans="1:31" ht="13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2"/>
      <c r="AD113" s="2"/>
      <c r="AE113" s="2"/>
    </row>
    <row r="114" spans="1:31" ht="13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2"/>
      <c r="AD114" s="2"/>
      <c r="AE114" s="2"/>
    </row>
    <row r="115" spans="1:31" ht="13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2"/>
      <c r="AD115" s="2"/>
      <c r="AE115" s="2"/>
    </row>
    <row r="116" spans="1:31" ht="13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2"/>
      <c r="AD116" s="2"/>
      <c r="AE116" s="2"/>
    </row>
    <row r="117" spans="1:31" ht="13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2"/>
      <c r="AD117" s="2"/>
      <c r="AE117" s="2"/>
    </row>
    <row r="118" spans="1:31" ht="13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2"/>
      <c r="AD118" s="2"/>
      <c r="AE118" s="2"/>
    </row>
    <row r="119" spans="1:31" ht="13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2"/>
      <c r="AD119" s="2"/>
      <c r="AE119" s="2"/>
    </row>
    <row r="120" spans="1:31" ht="13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2"/>
      <c r="AD120" s="2"/>
      <c r="AE120" s="2"/>
    </row>
    <row r="121" spans="1:31" ht="13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2"/>
      <c r="AD121" s="2"/>
      <c r="AE121" s="2"/>
    </row>
    <row r="122" spans="1:31" ht="13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2"/>
      <c r="AD122" s="2"/>
      <c r="AE122" s="2"/>
    </row>
    <row r="123" spans="1:31" ht="13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2"/>
      <c r="AD123" s="2"/>
      <c r="AE123" s="2"/>
    </row>
    <row r="124" spans="1:31" ht="13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2"/>
      <c r="AD124" s="2"/>
      <c r="AE124" s="2"/>
    </row>
    <row r="125" spans="1:31" ht="13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2"/>
      <c r="AD125" s="2"/>
      <c r="AE125" s="2"/>
    </row>
    <row r="126" spans="1:31" ht="13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2"/>
      <c r="AD126" s="2"/>
      <c r="AE126" s="2"/>
    </row>
    <row r="127" spans="1:31" ht="13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2"/>
      <c r="AD127" s="2"/>
      <c r="AE127" s="2"/>
    </row>
    <row r="128" spans="1:31" ht="13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2"/>
      <c r="AD128" s="2"/>
      <c r="AE128" s="2"/>
    </row>
    <row r="129" spans="1:31" ht="13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2"/>
      <c r="AD129" s="2"/>
      <c r="AE129" s="2"/>
    </row>
    <row r="130" spans="1:31" ht="13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2"/>
      <c r="AD130" s="2"/>
      <c r="AE130" s="2"/>
    </row>
    <row r="131" spans="1:31" ht="13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2"/>
      <c r="AD131" s="2"/>
      <c r="AE131" s="2"/>
    </row>
    <row r="132" spans="1:31" ht="13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2"/>
      <c r="AD132" s="2"/>
      <c r="AE132" s="2"/>
    </row>
    <row r="133" spans="1:31" ht="13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2"/>
      <c r="AD133" s="2"/>
      <c r="AE133" s="2"/>
    </row>
    <row r="134" spans="1:31" ht="13.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2"/>
      <c r="AD134" s="2"/>
      <c r="AE134" s="2"/>
    </row>
    <row r="135" spans="1:31" ht="13.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2"/>
      <c r="AD135" s="2"/>
      <c r="AE135" s="2"/>
    </row>
    <row r="136" spans="1:31" ht="13.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2"/>
      <c r="AD136" s="2"/>
      <c r="AE136" s="2"/>
    </row>
    <row r="137" spans="1:31" ht="13.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2"/>
      <c r="AD137" s="2"/>
      <c r="AE137" s="2"/>
    </row>
    <row r="138" spans="1:31" ht="13.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2"/>
      <c r="AD138" s="2"/>
      <c r="AE138" s="2"/>
    </row>
    <row r="139" spans="1:31" ht="13.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2"/>
      <c r="AD139" s="2"/>
      <c r="AE139" s="2"/>
    </row>
    <row r="140" spans="1:31" ht="13.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2"/>
      <c r="AD140" s="2"/>
      <c r="AE140" s="2"/>
    </row>
    <row r="141" spans="1:31" ht="13.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2"/>
      <c r="AD141" s="2"/>
      <c r="AE141" s="2"/>
    </row>
    <row r="142" spans="1:31" ht="13.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2"/>
      <c r="AD142" s="2"/>
      <c r="AE142" s="2"/>
    </row>
    <row r="143" spans="1:31" ht="13.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2"/>
      <c r="AD143" s="2"/>
      <c r="AE143" s="2"/>
    </row>
    <row r="144" spans="1:31" ht="13.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2"/>
      <c r="AD144" s="2"/>
      <c r="AE144" s="2"/>
    </row>
    <row r="145" spans="1:31" ht="13.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2"/>
      <c r="AD145" s="2"/>
      <c r="AE145" s="2"/>
    </row>
    <row r="146" spans="1:31" ht="13.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2"/>
      <c r="AD146" s="2"/>
      <c r="AE146" s="2"/>
    </row>
    <row r="147" spans="1:31" ht="13.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2"/>
      <c r="AD147" s="2"/>
      <c r="AE147" s="2"/>
    </row>
    <row r="148" spans="1:31" ht="13.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2"/>
      <c r="AD148" s="2"/>
      <c r="AE148" s="2"/>
    </row>
    <row r="149" spans="1:31" ht="13.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2"/>
      <c r="AD149" s="2"/>
      <c r="AE149" s="2"/>
    </row>
    <row r="150" spans="1:31" ht="13.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2"/>
      <c r="AD150" s="2"/>
      <c r="AE150" s="2"/>
    </row>
    <row r="151" spans="1:31" ht="13.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2"/>
      <c r="AD151" s="2"/>
      <c r="AE151" s="2"/>
    </row>
    <row r="152" spans="1:31" ht="13.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2"/>
      <c r="AD152" s="2"/>
      <c r="AE152" s="2"/>
    </row>
    <row r="153" spans="1:31" ht="13.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2"/>
      <c r="AD153" s="2"/>
      <c r="AE153" s="2"/>
    </row>
    <row r="154" spans="1:31" ht="13.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2"/>
      <c r="AD154" s="2"/>
      <c r="AE154" s="2"/>
    </row>
    <row r="155" spans="1:31" ht="13.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2"/>
      <c r="AD155" s="2"/>
      <c r="AE155" s="2"/>
    </row>
    <row r="156" spans="1:31" ht="13.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2"/>
      <c r="AD156" s="2"/>
      <c r="AE156" s="2"/>
    </row>
    <row r="157" spans="1:31" ht="13.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2"/>
      <c r="AD157" s="2"/>
      <c r="AE157" s="2"/>
    </row>
    <row r="158" spans="1:31" ht="13.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2"/>
      <c r="AD158" s="2"/>
      <c r="AE158" s="2"/>
    </row>
    <row r="159" spans="1:31" ht="13.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2"/>
      <c r="AD159" s="2"/>
      <c r="AE159" s="2"/>
    </row>
    <row r="160" spans="1:31" ht="13.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2"/>
      <c r="AD160" s="2"/>
      <c r="AE160" s="2"/>
    </row>
    <row r="161" spans="1:31" ht="13.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2"/>
      <c r="AD161" s="2"/>
      <c r="AE161" s="2"/>
    </row>
    <row r="162" spans="1:31" ht="13.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2"/>
      <c r="AD162" s="2"/>
      <c r="AE162" s="2"/>
    </row>
    <row r="163" spans="1:31" ht="13.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2"/>
      <c r="AD163" s="2"/>
      <c r="AE163" s="2"/>
    </row>
    <row r="164" spans="1:31" ht="13.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2"/>
      <c r="AD164" s="2"/>
      <c r="AE164" s="2"/>
    </row>
    <row r="165" spans="1:31" ht="13.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2"/>
      <c r="AD165" s="2"/>
      <c r="AE165" s="2"/>
    </row>
    <row r="166" spans="1:31" ht="13.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2"/>
      <c r="AD166" s="2"/>
      <c r="AE166" s="2"/>
    </row>
    <row r="167" spans="1:31" ht="13.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2"/>
      <c r="AD167" s="2"/>
      <c r="AE167" s="2"/>
    </row>
    <row r="168" spans="1:31" ht="13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2"/>
      <c r="AD168" s="2"/>
      <c r="AE168" s="2"/>
    </row>
    <row r="169" spans="1:31" ht="13.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2"/>
      <c r="AD169" s="2"/>
      <c r="AE169" s="2"/>
    </row>
    <row r="170" spans="1:31" ht="13.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2"/>
      <c r="AD170" s="2"/>
      <c r="AE170" s="2"/>
    </row>
    <row r="171" spans="1:31" ht="13.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2"/>
      <c r="AD171" s="2"/>
      <c r="AE171" s="2"/>
    </row>
    <row r="172" spans="1:31" ht="13.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2"/>
      <c r="AD172" s="2"/>
      <c r="AE172" s="2"/>
    </row>
    <row r="173" spans="1:31" ht="13.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2"/>
      <c r="AD173" s="2"/>
      <c r="AE173" s="2"/>
    </row>
    <row r="174" spans="1:31" ht="13.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2"/>
      <c r="AD174" s="2"/>
      <c r="AE174" s="2"/>
    </row>
    <row r="175" spans="1:31" ht="13.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2"/>
      <c r="AD175" s="2"/>
      <c r="AE175" s="2"/>
    </row>
    <row r="176" spans="1:31" ht="13.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2"/>
      <c r="AD176" s="2"/>
      <c r="AE176" s="2"/>
    </row>
    <row r="177" spans="1:31" ht="13.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2"/>
      <c r="AD177" s="2"/>
      <c r="AE177" s="2"/>
    </row>
    <row r="178" spans="1:31" ht="13.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2"/>
      <c r="AD178" s="2"/>
      <c r="AE178" s="2"/>
    </row>
    <row r="179" spans="1:31" ht="13.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2"/>
      <c r="AD179" s="2"/>
      <c r="AE179" s="2"/>
    </row>
    <row r="180" spans="1:31" ht="13.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2"/>
      <c r="AD180" s="2"/>
      <c r="AE180" s="2"/>
    </row>
    <row r="181" spans="1:31" ht="13.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2"/>
      <c r="AD181" s="2"/>
      <c r="AE181" s="2"/>
    </row>
    <row r="182" spans="1:31" ht="13.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2"/>
      <c r="AD182" s="2"/>
      <c r="AE182" s="2"/>
    </row>
    <row r="183" spans="1:31" ht="13.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2"/>
      <c r="AD183" s="2"/>
      <c r="AE183" s="2"/>
    </row>
    <row r="184" spans="1:31" ht="13.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2"/>
      <c r="AD184" s="2"/>
      <c r="AE184" s="2"/>
    </row>
    <row r="185" spans="1:31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</sheetData>
  <printOptions/>
  <pageMargins left="0.75" right="0.75" top="1" bottom="1" header="0.512" footer="0.51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太平工業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Y-WATABE</dc:creator>
  <cp:keywords/>
  <dc:description/>
  <cp:lastModifiedBy>渡部泰一</cp:lastModifiedBy>
  <cp:lastPrinted>2006-12-30T08:35:10Z</cp:lastPrinted>
  <dcterms:created xsi:type="dcterms:W3CDTF">2005-04-25T03:34:11Z</dcterms:created>
  <dcterms:modified xsi:type="dcterms:W3CDTF">2007-05-12T12:05:27Z</dcterms:modified>
  <cp:category/>
  <cp:version/>
  <cp:contentType/>
  <cp:contentStatus/>
</cp:coreProperties>
</file>